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" yWindow="120" windowWidth="8460" windowHeight="6792" activeTab="0"/>
  </bookViews>
  <sheets>
    <sheet name="Ekstre" sheetId="1" r:id="rId1"/>
    <sheet name="Borçlu" sheetId="2" r:id="rId2"/>
    <sheet name="Bilanço" sheetId="3" r:id="rId3"/>
    <sheet name="İcmal" sheetId="4" r:id="rId4"/>
    <sheet name="Fon" sheetId="5" r:id="rId5"/>
    <sheet name="Tahvil" sheetId="6" r:id="rId6"/>
    <sheet name="FonKıdem" sheetId="7" r:id="rId7"/>
    <sheet name="Gelir" sheetId="8" r:id="rId8"/>
    <sheet name="1" sheetId="9" r:id="rId9"/>
    <sheet name="2" sheetId="10" r:id="rId10"/>
    <sheet name="3" sheetId="11" r:id="rId11"/>
    <sheet name="4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  <sheet name="16" sheetId="23" r:id="rId23"/>
    <sheet name="16A" sheetId="24" r:id="rId24"/>
    <sheet name="16B" sheetId="25" r:id="rId25"/>
    <sheet name="2A" sheetId="26" r:id="rId26"/>
    <sheet name="2B" sheetId="27" r:id="rId27"/>
    <sheet name="SairGelirler" sheetId="28" r:id="rId28"/>
    <sheet name="Su_Haz.07" sheetId="29" r:id="rId29"/>
    <sheet name="Su_Tem.07" sheetId="30" r:id="rId30"/>
    <sheet name="Su_Ağus.07" sheetId="31" r:id="rId31"/>
    <sheet name="Su_Eyl.07" sheetId="32" r:id="rId32"/>
    <sheet name="Su_Ek_Kas.07" sheetId="33" r:id="rId33"/>
    <sheet name="Su_Ara.07" sheetId="34" r:id="rId34"/>
    <sheet name="Su_Oca.08" sheetId="35" r:id="rId35"/>
    <sheet name="Su_Şub.08" sheetId="36" r:id="rId36"/>
    <sheet name="Su_Mart.08" sheetId="37" r:id="rId37"/>
    <sheet name="Su_Nisan.08" sheetId="38" r:id="rId38"/>
    <sheet name="Su_Mayıs.08" sheetId="39" r:id="rId39"/>
    <sheet name="2007-08 İşletme Projesi" sheetId="40" r:id="rId40"/>
    <sheet name="Ref" sheetId="41" r:id="rId41"/>
  </sheets>
  <definedNames>
    <definedName name="_xlnm._FilterDatabase" localSheetId="0" hidden="1">'Ekstre'!$E$1:$E$142</definedName>
    <definedName name="_xlnm._FilterDatabase" localSheetId="7" hidden="1">'Gelir'!$D$1:$E$210</definedName>
    <definedName name="_xlnm.Print_Area" localSheetId="8">'1'!$A$1:$I$37</definedName>
    <definedName name="_xlnm.Print_Area" localSheetId="17">'10'!$A$1:$I$37</definedName>
    <definedName name="_xlnm.Print_Area" localSheetId="23">'16A'!$A$1:$I$37</definedName>
    <definedName name="_xlnm.Print_Area" localSheetId="9">'2'!$A$1:$I$37</definedName>
    <definedName name="_xlnm.Print_Area" localSheetId="26">'2B'!$A$1:$I$37</definedName>
    <definedName name="_xlnm.Print_Area" localSheetId="15">'8'!$A$1:$I$38</definedName>
    <definedName name="_xlnm.Print_Area" localSheetId="16">'9'!$A$1:$I$37</definedName>
    <definedName name="_xlnm.Print_Area" localSheetId="2">'Bilanço'!$A$1:$H$29</definedName>
    <definedName name="_xlnm.Print_Area" localSheetId="1">'Borçlu'!$A$1:$E$24</definedName>
    <definedName name="_xlnm.Print_Area" localSheetId="0">'Ekstre'!$A$1:$H$9</definedName>
    <definedName name="_xlnm.Print_Area" localSheetId="4">'Fon'!$A$1:$J$80</definedName>
    <definedName name="_xlnm.Print_Area" localSheetId="3">'İcmal'!$B$1:$G$21</definedName>
    <definedName name="_xlnm.Print_Area" localSheetId="40">'Ref'!$A$23:$E$46</definedName>
    <definedName name="_xlnm.Print_Area" localSheetId="27">'SairGelirler'!$A$1:$D$22</definedName>
    <definedName name="_xlnm.Print_Area" localSheetId="33">'Su_Ara.07'!$A$1:$H$33</definedName>
    <definedName name="_xlnm.Print_Area" localSheetId="32">'Su_Ek_Kas.07'!$A$1:$H$34</definedName>
    <definedName name="_xlnm.Print_Area" localSheetId="31">'Su_Eyl.07'!$A$1:$H$33</definedName>
    <definedName name="_xlnm.Print_Area" localSheetId="28">'Su_Haz.07'!$A$1:$H$33</definedName>
    <definedName name="_xlnm.Print_Area" localSheetId="36">'Su_Mart.08'!$A$1:$H$33</definedName>
    <definedName name="_xlnm.Print_Area" localSheetId="38">'Su_Mayıs.08'!$A$1:$H$33</definedName>
    <definedName name="_xlnm.Print_Area" localSheetId="37">'Su_Nisan.08'!$A$1:$H$33</definedName>
    <definedName name="_xlnm.Print_Area" localSheetId="34">'Su_Oca.08'!$A$1:$H$33</definedName>
    <definedName name="_xlnm.Print_Area" localSheetId="35">'Su_Şub.08'!$A$1:$H$33</definedName>
    <definedName name="_xlnm.Print_Area" localSheetId="29">'Su_Tem.07'!$A$1:$H$33</definedName>
  </definedNames>
  <calcPr fullCalcOnLoad="1"/>
</workbook>
</file>

<file path=xl/sharedStrings.xml><?xml version="1.0" encoding="utf-8"?>
<sst xmlns="http://schemas.openxmlformats.org/spreadsheetml/2006/main" count="1964" uniqueCount="625">
  <si>
    <t>DAİRE</t>
  </si>
  <si>
    <t>TARİH</t>
  </si>
  <si>
    <t>AÇIKLAMA</t>
  </si>
  <si>
    <t>TUTAR</t>
  </si>
  <si>
    <t>GELİR</t>
  </si>
  <si>
    <t>GİDER</t>
  </si>
  <si>
    <t>Devreden Borç</t>
  </si>
  <si>
    <t>TAHAKKUK</t>
  </si>
  <si>
    <t>Döküm Tarihi:</t>
  </si>
  <si>
    <t>Köşe Daire</t>
  </si>
  <si>
    <t>Ara Daire</t>
  </si>
  <si>
    <t>TOPLAM YATIRILAN</t>
  </si>
  <si>
    <t>MALİK</t>
  </si>
  <si>
    <t>Aylık</t>
  </si>
  <si>
    <t>Yıllık</t>
  </si>
  <si>
    <t>Ortak Elektrik</t>
  </si>
  <si>
    <t>Ortak Su</t>
  </si>
  <si>
    <t>Asansör Bakım</t>
  </si>
  <si>
    <t>Tamir,bakım,çıkması olası işler</t>
  </si>
  <si>
    <t>TOPLAM PERSONEL</t>
  </si>
  <si>
    <t>TOPLAM SAİR</t>
  </si>
  <si>
    <t>GENEL TOPLAM</t>
  </si>
  <si>
    <t>Hesaplanan Aidatlar</t>
  </si>
  <si>
    <t>Personel Harcamaları</t>
  </si>
  <si>
    <t>Sair Harcamalar</t>
  </si>
  <si>
    <t>Toplam Yıllık Pay</t>
  </si>
  <si>
    <t>Aylık Aidat</t>
  </si>
  <si>
    <t>Köşe Daireler -(16/240 arsa pay)</t>
  </si>
  <si>
    <t>Ara Daireler -  (14/240 arsa pay)</t>
  </si>
  <si>
    <t>Dükkanlar -      (6/240 arsa pay)</t>
  </si>
  <si>
    <t>Bir dükkan için</t>
  </si>
  <si>
    <t>Beş dükkan için</t>
  </si>
  <si>
    <t>eksik ödenen aylık</t>
  </si>
  <si>
    <t>Eksik ödemenin dağılımı:</t>
  </si>
  <si>
    <t>Personel Gideri</t>
  </si>
  <si>
    <t>Sair Gider</t>
  </si>
  <si>
    <t>Toplam</t>
  </si>
  <si>
    <t>ilave edilmesi gerekir</t>
  </si>
  <si>
    <t>Aidatlar:</t>
  </si>
  <si>
    <t>Hesaplanan Aidat</t>
  </si>
  <si>
    <t>Dükkanlardan Fark</t>
  </si>
  <si>
    <t>Önerilen Aidat</t>
  </si>
  <si>
    <t>Dükkanlar</t>
  </si>
  <si>
    <t xml:space="preserve"> </t>
  </si>
  <si>
    <t>Köşe Daireler</t>
  </si>
  <si>
    <t>Ara Daireler</t>
  </si>
  <si>
    <t>Önceki</t>
  </si>
  <si>
    <t>Okuma</t>
  </si>
  <si>
    <t>Son</t>
  </si>
  <si>
    <t>Tüketim</t>
  </si>
  <si>
    <t>(m3)</t>
  </si>
  <si>
    <t>Sabit Gider</t>
  </si>
  <si>
    <t>TOPLAMLAR:</t>
  </si>
  <si>
    <t>Toplam Ödeme</t>
  </si>
  <si>
    <t>AİDAT</t>
  </si>
  <si>
    <t>EK ÖDEME</t>
  </si>
  <si>
    <t>TOPLAM</t>
  </si>
  <si>
    <t>KÖŞE DAİRELER</t>
  </si>
  <si>
    <t>ARA DAİRELER</t>
  </si>
  <si>
    <t>DÜKKANLAR</t>
  </si>
  <si>
    <t>BUGÜN :</t>
  </si>
  <si>
    <t>Arsa Payları :</t>
  </si>
  <si>
    <t>GİDER TOPLAMLAR</t>
  </si>
  <si>
    <t>B.B.</t>
  </si>
  <si>
    <t>NOT: İleriki tarihlere ait Ek Ödemeler dökümü aşağıda çıkarılmıştır:</t>
  </si>
  <si>
    <t>GÜZ APARTMANI YÖNETİMİ</t>
  </si>
  <si>
    <t>m3</t>
  </si>
  <si>
    <t>TL</t>
  </si>
  <si>
    <t>GÜZ Apartmanı Yönetimi</t>
  </si>
  <si>
    <t>sabit ücret</t>
  </si>
  <si>
    <t>İZSU Ana Sayaç okuma :</t>
  </si>
  <si>
    <t>GÜZ APARTMANI</t>
  </si>
  <si>
    <t>B. B.</t>
  </si>
  <si>
    <t>16/A</t>
  </si>
  <si>
    <t>16/B</t>
  </si>
  <si>
    <t>2/A</t>
  </si>
  <si>
    <t>2/B</t>
  </si>
  <si>
    <t>Maliği</t>
  </si>
  <si>
    <t>Arsa Payı</t>
  </si>
  <si>
    <t>19 ad. B.B.</t>
  </si>
  <si>
    <t>DAMEKS</t>
  </si>
  <si>
    <t>Nihat BABAOĞLU</t>
  </si>
  <si>
    <t>Avram LEVİ</t>
  </si>
  <si>
    <t>Tülin TÜRER</t>
  </si>
  <si>
    <t>Melih ÜNAL</t>
  </si>
  <si>
    <t>Süreyya DORKEN</t>
  </si>
  <si>
    <t>Nesim SİGURA</t>
  </si>
  <si>
    <t>R. Ahmet KURŞUN</t>
  </si>
  <si>
    <t>YÖNETİCİ</t>
  </si>
  <si>
    <t>Ahmet ATAKAN</t>
  </si>
  <si>
    <t>Didar ÇAĞIRGAN</t>
  </si>
  <si>
    <t>GİDERLER :</t>
  </si>
  <si>
    <t>Rümeysa ALTUNAY</t>
  </si>
  <si>
    <r>
      <t xml:space="preserve">   Ödemelerinizi </t>
    </r>
    <r>
      <rPr>
        <b/>
        <sz val="10"/>
        <color indexed="61"/>
        <rFont val="Arial"/>
        <family val="0"/>
      </rPr>
      <t>Güz Apartmanı Yönetimi</t>
    </r>
    <r>
      <rPr>
        <sz val="10"/>
        <color indexed="61"/>
        <rFont val="Arial"/>
        <family val="0"/>
      </rPr>
      <t>'nin</t>
    </r>
  </si>
  <si>
    <r>
      <t xml:space="preserve">   Türkiye </t>
    </r>
    <r>
      <rPr>
        <b/>
        <sz val="10"/>
        <color indexed="61"/>
        <rFont val="Arial"/>
        <family val="0"/>
      </rPr>
      <t>İş Bankası Alsancak Şubesi</t>
    </r>
    <r>
      <rPr>
        <sz val="10"/>
        <color indexed="61"/>
        <rFont val="Arial"/>
        <family val="0"/>
      </rPr>
      <t>'ndeki</t>
    </r>
  </si>
  <si>
    <t xml:space="preserve">    (Talatpaşa Bulv. 27/A, Fil Kafeterya sırası)</t>
  </si>
  <si>
    <r>
      <t xml:space="preserve">      </t>
    </r>
    <r>
      <rPr>
        <b/>
        <sz val="10"/>
        <color indexed="61"/>
        <rFont val="Arial"/>
        <family val="0"/>
      </rPr>
      <t>3401  781163</t>
    </r>
    <r>
      <rPr>
        <sz val="10"/>
        <color indexed="61"/>
        <rFont val="Arial"/>
        <family val="0"/>
      </rPr>
      <t xml:space="preserve"> no.lu (vadesiz) hesabına</t>
    </r>
  </si>
  <si>
    <t xml:space="preserve">              yapabilirsiniz.</t>
  </si>
  <si>
    <r>
      <t xml:space="preserve">     (EFT Banka kodu: </t>
    </r>
    <r>
      <rPr>
        <b/>
        <sz val="10"/>
        <color indexed="61"/>
        <rFont val="Arial"/>
        <family val="2"/>
      </rPr>
      <t>64</t>
    </r>
    <r>
      <rPr>
        <sz val="10"/>
        <color indexed="61"/>
        <rFont val="Arial"/>
        <family val="0"/>
      </rPr>
      <t>, Şube Kodu:</t>
    </r>
    <r>
      <rPr>
        <b/>
        <sz val="10"/>
        <color indexed="61"/>
        <rFont val="Arial"/>
        <family val="2"/>
      </rPr>
      <t>3401</t>
    </r>
    <r>
      <rPr>
        <sz val="10"/>
        <color indexed="61"/>
        <rFont val="Arial"/>
        <family val="0"/>
      </rPr>
      <t>)</t>
    </r>
  </si>
  <si>
    <t>Malik</t>
  </si>
  <si>
    <t>TOPLAM BORÇ</t>
  </si>
  <si>
    <t>Aidat Borcu</t>
  </si>
  <si>
    <t>Fİgen ÜNER</t>
  </si>
  <si>
    <t>ALINAN FON</t>
  </si>
  <si>
    <t>SATILAN FON</t>
  </si>
  <si>
    <t>FONDA MEVCUT</t>
  </si>
  <si>
    <t>A</t>
  </si>
  <si>
    <t>B</t>
  </si>
  <si>
    <t>FON GETİRİSİ</t>
  </si>
  <si>
    <t>(FAİZ)</t>
  </si>
  <si>
    <t>GELİRLER :</t>
  </si>
  <si>
    <t>TARİHİ İTİBARI İLE...</t>
  </si>
  <si>
    <t>İŞLEM</t>
  </si>
  <si>
    <t>TARİHİ</t>
  </si>
  <si>
    <t>TUTARI</t>
  </si>
  <si>
    <t>TOPLAM TUTAR</t>
  </si>
  <si>
    <t>3 veya daha fazla</t>
  </si>
  <si>
    <t>Aidat Borcu Olanlar</t>
  </si>
  <si>
    <t>(Apartman Alacağı)</t>
  </si>
  <si>
    <t>VARLIK (kasa karşılığı)</t>
  </si>
  <si>
    <t>KASA (GELİRLER-GİDERLER)</t>
  </si>
  <si>
    <t>Kasa karşılığı mevcut varlık</t>
  </si>
  <si>
    <t>Hes.Grubu</t>
  </si>
  <si>
    <t>Dönem:</t>
  </si>
  <si>
    <t>GİDERLER</t>
  </si>
  <si>
    <t>Apartman Görevlisi Maaş</t>
  </si>
  <si>
    <t>Apartman Görevlisi SSK Primi</t>
  </si>
  <si>
    <t>Apartman Görevlisi İkramiye</t>
  </si>
  <si>
    <t>Apartman Görevlisi Süt Parası</t>
  </si>
  <si>
    <t>Kalorifer Tesisatı Bakım</t>
  </si>
  <si>
    <t>Yakacak ve kömür, kül taşıma</t>
  </si>
  <si>
    <t>Asansör Aylık Peryodik Bakım</t>
  </si>
  <si>
    <t>Elektrik Tesisatı Bakım, Onarım</t>
  </si>
  <si>
    <t>Hidrofor Tesisatı Bakım, Onarım</t>
  </si>
  <si>
    <t>Kırtasiye ve Bürokratik Harcama</t>
  </si>
  <si>
    <t>Yol, vs Giderler</t>
  </si>
  <si>
    <t>Hesap</t>
  </si>
  <si>
    <t>a</t>
  </si>
  <si>
    <t>b</t>
  </si>
  <si>
    <t>Önceki Dönemden Devreden</t>
  </si>
  <si>
    <t>Bankaya yatan Aidat</t>
  </si>
  <si>
    <t>GELİRLER</t>
  </si>
  <si>
    <t>Grubu</t>
  </si>
  <si>
    <t>İcra Gelirleri</t>
  </si>
  <si>
    <t>NET TUTARI</t>
  </si>
  <si>
    <t>Sair Gelirler</t>
  </si>
  <si>
    <t xml:space="preserve">Çeşitli Bakım, Onarım </t>
  </si>
  <si>
    <t>Temizlik malzemesi</t>
  </si>
  <si>
    <t>Toplam Mevduat</t>
  </si>
  <si>
    <t>Borçludan Alacak  (hesap dışı bilgi)</t>
  </si>
  <si>
    <t>D</t>
  </si>
  <si>
    <t>Apt. Görevlisi Maaş</t>
  </si>
  <si>
    <t>Apt. Görevlisi Sigorta</t>
  </si>
  <si>
    <t>Apt. Görevlisi İkramiye</t>
  </si>
  <si>
    <t>Apt. Görevlisi Süt parası</t>
  </si>
  <si>
    <t>Apt. Görevlisi Kıdem Tazminatı Fonu</t>
  </si>
  <si>
    <t>BÜTÇE İÇİN GEREKLİ TUTAR</t>
  </si>
  <si>
    <t>Yönetici ve</t>
  </si>
  <si>
    <t>Bürokratik harcamalar</t>
  </si>
  <si>
    <r>
      <t>C</t>
    </r>
    <r>
      <rPr>
        <sz val="10"/>
        <color indexed="55"/>
        <rFont val="Arial"/>
        <family val="2"/>
      </rPr>
      <t>=A+B</t>
    </r>
  </si>
  <si>
    <t>Devir</t>
  </si>
  <si>
    <t>APARTMAN GÖREVLİSİ KIDEM TAZMİNATI FONU</t>
  </si>
  <si>
    <t>Yatırım Hesap: 3401 0781163</t>
  </si>
  <si>
    <t>APARTMAN GENEL YATIRIM HESABI</t>
  </si>
  <si>
    <t>Yatırım Hesap: 3401 0781176</t>
  </si>
  <si>
    <t>alınan yetki ile açılmıştır. Bu karar uyarınca her yıl bu yatırım fonu hesabına apartman görevlisinin bir aylık maaşı tutarında bir meblağ</t>
  </si>
  <si>
    <t>aktarılacak ve bu fonda biriken tutar sair apartman ortak giderleri için kullanılmayacaktır.</t>
  </si>
  <si>
    <r>
      <t>Not:</t>
    </r>
    <r>
      <rPr>
        <sz val="10"/>
        <color indexed="63"/>
        <rFont val="Arial"/>
        <family val="0"/>
      </rPr>
      <t xml:space="preserve"> Apartman Görevlisi Kıdem Tazminatı Fonu, 22.06.2004 tarihli Kat Malikleri Genel Kurul Toplantısında alınan karar doğrultusunda</t>
    </r>
  </si>
  <si>
    <t>Not: Devreden borç mal sahibine aittir.</t>
  </si>
  <si>
    <t>(Ç.T.V.,vs)</t>
  </si>
  <si>
    <t>B-Tipi Likid Fon (0781176)</t>
  </si>
  <si>
    <t>Vadesiz hesap   (0781163)</t>
  </si>
  <si>
    <t>Yönetici'nin alacaklı old. Tutar</t>
  </si>
  <si>
    <t>Yönetici'nin üzerindeki Tutar</t>
  </si>
  <si>
    <t>B-Tipi Likid Fon (0781163)</t>
  </si>
  <si>
    <t>Vadesiz hesap   (0781176)</t>
  </si>
  <si>
    <t>TL.</t>
  </si>
  <si>
    <t>%</t>
  </si>
  <si>
    <t xml:space="preserve">                GÜZ APARTMANI YÖNETİMİ</t>
  </si>
  <si>
    <t>TOPLAM GİDER</t>
  </si>
  <si>
    <t>TOPLAM GELİR</t>
  </si>
  <si>
    <r>
      <t xml:space="preserve">TOPLAM </t>
    </r>
    <r>
      <rPr>
        <b/>
        <sz val="10"/>
        <rFont val="Arial"/>
        <family val="2"/>
      </rPr>
      <t>GİDER+VARLIK</t>
    </r>
  </si>
  <si>
    <t>Beki Şikar</t>
  </si>
  <si>
    <t>(YTL.)</t>
  </si>
  <si>
    <t>(YTL)</t>
  </si>
  <si>
    <t>Payı (YTL)</t>
  </si>
  <si>
    <t>F</t>
  </si>
  <si>
    <t>Tarihi itibarı ile</t>
  </si>
  <si>
    <t>TÜRK LİRASİ HAZİNE BONOSU ve DEVLET TAHVİLİ YATIRIM İŞLEMLERİ</t>
  </si>
  <si>
    <t>V.K.G.</t>
  </si>
  <si>
    <t>İhraç</t>
  </si>
  <si>
    <t>Tarihi</t>
  </si>
  <si>
    <t>Vade Sonu</t>
  </si>
  <si>
    <t>Değeri</t>
  </si>
  <si>
    <t>Alış</t>
  </si>
  <si>
    <t>Kod</t>
  </si>
  <si>
    <t>Vade</t>
  </si>
  <si>
    <t>Fiyatı</t>
  </si>
  <si>
    <t>Alış Birim</t>
  </si>
  <si>
    <t>Basit</t>
  </si>
  <si>
    <t>Faiz</t>
  </si>
  <si>
    <t>Bileşik</t>
  </si>
  <si>
    <t>Tahakkuk</t>
  </si>
  <si>
    <t>Eden</t>
  </si>
  <si>
    <t>TOPLAM NET GETİRİ:</t>
  </si>
  <si>
    <t>HALEN TAHVİLDE OLAN TOPLAM TUTAR:</t>
  </si>
  <si>
    <t>Devlet Tahvili</t>
  </si>
  <si>
    <t>Devlet Tahvili Getirisi</t>
  </si>
  <si>
    <t>YATIRIM</t>
  </si>
  <si>
    <t>MEVCUT PARA</t>
  </si>
  <si>
    <t>TUTARI (YTL)</t>
  </si>
  <si>
    <t>TİPİ</t>
  </si>
  <si>
    <t>NET</t>
  </si>
  <si>
    <t>GETİRİ (YTL)</t>
  </si>
  <si>
    <t>3401 0781163</t>
  </si>
  <si>
    <t>3401 0781176</t>
  </si>
  <si>
    <t>TAHVİL</t>
  </si>
  <si>
    <t>801 B-TİPİ LİKİT FON ALIM SATIM İŞLEMLERİ</t>
  </si>
  <si>
    <t>İCMAL SAYFASI</t>
  </si>
  <si>
    <t>SAYFA</t>
  </si>
  <si>
    <t>Fon</t>
  </si>
  <si>
    <t>FonKıdem</t>
  </si>
  <si>
    <t>ADI</t>
  </si>
  <si>
    <t>Tahvil</t>
  </si>
  <si>
    <t xml:space="preserve">801 B </t>
  </si>
  <si>
    <r>
      <t>Vadesiz Hesap</t>
    </r>
    <r>
      <rPr>
        <sz val="10"/>
        <color indexed="18"/>
        <rFont val="Arial"/>
        <family val="2"/>
      </rPr>
      <t>ta mevcut para</t>
    </r>
  </si>
  <si>
    <t>B-Tipi Likid Fon (0781163) Getirisi</t>
  </si>
  <si>
    <t>B-Tipi Likid Fon (0781176) Getirisi</t>
  </si>
  <si>
    <t>No.lu Genel Yatırım Hesabımız</t>
  </si>
  <si>
    <t>No.lu Kıdem Fonu Yatırım Hesabımız</t>
  </si>
  <si>
    <t>İSMİ</t>
  </si>
  <si>
    <t>B-Tipi Likit Fon</t>
  </si>
  <si>
    <t>TL Tahvil ve Bono</t>
  </si>
  <si>
    <t>Kıdem Fon Yatırım Hes. (0781176) Net Getirisi</t>
  </si>
  <si>
    <t>Genel Yatırım Hesabı     (0781163) Net Getirisi</t>
  </si>
  <si>
    <t>c</t>
  </si>
  <si>
    <t>e</t>
  </si>
  <si>
    <r>
      <t>g</t>
    </r>
    <r>
      <rPr>
        <sz val="10"/>
        <color indexed="55"/>
        <rFont val="Arial"/>
        <family val="2"/>
      </rPr>
      <t>=d+e</t>
    </r>
  </si>
  <si>
    <r>
      <t>0781163 Yat. Hes.</t>
    </r>
    <r>
      <rPr>
        <sz val="10"/>
        <color indexed="17"/>
        <rFont val="Arial"/>
        <family val="2"/>
      </rPr>
      <t xml:space="preserve"> mevcut para</t>
    </r>
  </si>
  <si>
    <r>
      <t>0781176 Yat. Hes.</t>
    </r>
    <r>
      <rPr>
        <sz val="10"/>
        <color indexed="17"/>
        <rFont val="Arial"/>
        <family val="2"/>
      </rPr>
      <t xml:space="preserve"> mevcut para</t>
    </r>
  </si>
  <si>
    <t>E</t>
  </si>
  <si>
    <r>
      <t>F</t>
    </r>
    <r>
      <rPr>
        <sz val="8"/>
        <color indexed="55"/>
        <rFont val="Arial"/>
        <family val="2"/>
      </rPr>
      <t>=C+D+E</t>
    </r>
  </si>
  <si>
    <t>G</t>
  </si>
  <si>
    <t>(F-G)</t>
  </si>
  <si>
    <t>T. İŞ BANKASI YATIRIM HESAPLARIMIZ</t>
  </si>
  <si>
    <r>
      <t>d</t>
    </r>
    <r>
      <rPr>
        <sz val="10"/>
        <color indexed="55"/>
        <rFont val="Arial"/>
        <family val="2"/>
      </rPr>
      <t>=a+b+c</t>
    </r>
  </si>
  <si>
    <t>APARTMAN AİDAT BORÇ LİSTESİ:</t>
  </si>
  <si>
    <r>
      <t>2003-2004</t>
    </r>
    <r>
      <rPr>
        <sz val="8"/>
        <color indexed="62"/>
        <rFont val="Arial"/>
        <family val="0"/>
      </rPr>
      <t xml:space="preserve"> Döneminde Apartmanımızın yatırım hesaplarının getirisi: </t>
    </r>
    <r>
      <rPr>
        <b/>
        <sz val="8"/>
        <color indexed="62"/>
        <rFont val="Arial"/>
        <family val="2"/>
      </rPr>
      <t>583.80 YTL</t>
    </r>
    <r>
      <rPr>
        <sz val="8"/>
        <color indexed="62"/>
        <rFont val="Arial"/>
        <family val="0"/>
      </rPr>
      <t>'dir.</t>
    </r>
  </si>
  <si>
    <r>
      <t>2004-2005</t>
    </r>
    <r>
      <rPr>
        <sz val="8"/>
        <color indexed="62"/>
        <rFont val="Arial"/>
        <family val="0"/>
      </rPr>
      <t xml:space="preserve"> Döneminde Apartmanımızın yatırım hesaplarının getirisi: </t>
    </r>
    <r>
      <rPr>
        <b/>
        <sz val="8"/>
        <color indexed="62"/>
        <rFont val="Arial"/>
        <family val="2"/>
      </rPr>
      <t>550.01 YTL</t>
    </r>
    <r>
      <rPr>
        <sz val="8"/>
        <color indexed="62"/>
        <rFont val="Arial"/>
        <family val="0"/>
      </rPr>
      <t>'dir.</t>
    </r>
  </si>
  <si>
    <t>STROHKORB</t>
  </si>
  <si>
    <t>(Previous</t>
  </si>
  <si>
    <t>(Last</t>
  </si>
  <si>
    <t xml:space="preserve"> Reading)</t>
  </si>
  <si>
    <t xml:space="preserve">  Reading)</t>
  </si>
  <si>
    <t>Consumption</t>
  </si>
  <si>
    <t>Fixed</t>
  </si>
  <si>
    <t>Expenses</t>
  </si>
  <si>
    <t>Total Payment</t>
  </si>
  <si>
    <t>Flat no.</t>
  </si>
  <si>
    <t>DÖNEMİ BİLANÇOSU</t>
  </si>
  <si>
    <t>AİDAT DIŞI SAİR GELİRLER:</t>
  </si>
  <si>
    <t>SIRA</t>
  </si>
  <si>
    <t xml:space="preserve">TOPLAM:    </t>
  </si>
  <si>
    <t>Bankaya Yatan Aidatlar + Sair Gelirler</t>
  </si>
  <si>
    <t>Toplam Aidat+Sair Gelirler (Devreden+Yatan)</t>
  </si>
  <si>
    <t>Halen Tahvilde</t>
  </si>
  <si>
    <t>Olan Tutarın</t>
  </si>
  <si>
    <t>Cari Değeri</t>
  </si>
  <si>
    <t>TOPLAM CARİ DEĞER</t>
  </si>
  <si>
    <t>Fahri ÇAMLIBEL</t>
  </si>
  <si>
    <t>Toplamlar</t>
  </si>
  <si>
    <t>2005-2006 HESABINDAN DEVREDEN MEVCUT</t>
  </si>
  <si>
    <t>Personel Giderleri Toplamı Eşit (K.M.K. mad.20),</t>
  </si>
  <si>
    <t>Sair Giderler Toplamı Arsa Payı oranında</t>
  </si>
  <si>
    <t>Bağımsız Bölümlere Dağıtım</t>
  </si>
  <si>
    <t>(eşit dağıtım)</t>
  </si>
  <si>
    <t>(arsa payı oranında)</t>
  </si>
  <si>
    <t>Dükkanların ve yöneticinin eksik ödemesinden</t>
  </si>
  <si>
    <t>kaynaklanan farkın düzeltilmesi:</t>
  </si>
  <si>
    <t>Bütün Daireler</t>
  </si>
  <si>
    <t>için Toplam</t>
  </si>
  <si>
    <t>Toplanan Aylık Toplam Aidat:</t>
  </si>
  <si>
    <t>Toplanan Yıllık Toplam Aidat:</t>
  </si>
  <si>
    <t>AYLIK eksik ödeme tutarı</t>
  </si>
  <si>
    <t>16+/240 payı (Aylık)</t>
  </si>
  <si>
    <t>14+/240 payı (Aylık)</t>
  </si>
  <si>
    <t>(Varsa) +Devreden</t>
  </si>
  <si>
    <t>Paylaşılmış Toplamlar</t>
  </si>
  <si>
    <t>Paylaşımı</t>
  </si>
  <si>
    <t>Murat BABAOĞLU</t>
  </si>
  <si>
    <t>M. Çağrı OKUR</t>
  </si>
  <si>
    <t>Temizlik Malzemesi, ampul, vs</t>
  </si>
  <si>
    <t>Kömür, kömür taşıma</t>
  </si>
  <si>
    <r>
      <t>2005-2006</t>
    </r>
    <r>
      <rPr>
        <sz val="8"/>
        <color indexed="62"/>
        <rFont val="Arial"/>
        <family val="0"/>
      </rPr>
      <t xml:space="preserve"> Döneminde Apartmanımızın yatırım hesaplarının getirisi:</t>
    </r>
    <r>
      <rPr>
        <b/>
        <sz val="8"/>
        <color indexed="62"/>
        <rFont val="Arial"/>
        <family val="2"/>
      </rPr>
      <t xml:space="preserve"> 218.98 YTL</t>
    </r>
    <r>
      <rPr>
        <sz val="8"/>
        <color indexed="62"/>
        <rFont val="Arial"/>
        <family val="0"/>
      </rPr>
      <t>'dir.</t>
    </r>
  </si>
  <si>
    <r>
      <t>2003-2004</t>
    </r>
    <r>
      <rPr>
        <sz val="8"/>
        <color indexed="62"/>
        <rFont val="Arial"/>
        <family val="0"/>
      </rPr>
      <t xml:space="preserve"> Döneminde Apartmanımızın yatırım hesaplarının toplam getirisi: </t>
    </r>
    <r>
      <rPr>
        <b/>
        <sz val="8"/>
        <color indexed="62"/>
        <rFont val="Arial"/>
        <family val="2"/>
      </rPr>
      <t>583.80 YTL</t>
    </r>
    <r>
      <rPr>
        <sz val="8"/>
        <color indexed="62"/>
        <rFont val="Arial"/>
        <family val="0"/>
      </rPr>
      <t>'dir.</t>
    </r>
  </si>
  <si>
    <r>
      <t>2004-2005</t>
    </r>
    <r>
      <rPr>
        <sz val="8"/>
        <color indexed="62"/>
        <rFont val="Arial"/>
        <family val="0"/>
      </rPr>
      <t xml:space="preserve"> Döneminde Apartmanımızın yatırım hesaplarının toplam getirisi: </t>
    </r>
    <r>
      <rPr>
        <b/>
        <sz val="8"/>
        <color indexed="62"/>
        <rFont val="Arial"/>
        <family val="2"/>
      </rPr>
      <t>550.01 YTL</t>
    </r>
    <r>
      <rPr>
        <sz val="8"/>
        <color indexed="62"/>
        <rFont val="Arial"/>
        <family val="0"/>
      </rPr>
      <t>'dir.</t>
    </r>
  </si>
  <si>
    <r>
      <t>2005-2006</t>
    </r>
    <r>
      <rPr>
        <sz val="8"/>
        <color indexed="62"/>
        <rFont val="Arial"/>
        <family val="0"/>
      </rPr>
      <t xml:space="preserve"> Döneminde Apartmanımızın yatırım hesaplarının toplam getirisi:</t>
    </r>
    <r>
      <rPr>
        <b/>
        <sz val="8"/>
        <color indexed="62"/>
        <rFont val="Arial"/>
        <family val="2"/>
      </rPr>
      <t xml:space="preserve"> 218.98 YTL</t>
    </r>
    <r>
      <rPr>
        <sz val="8"/>
        <color indexed="62"/>
        <rFont val="Arial"/>
        <family val="0"/>
      </rPr>
      <t>'dir.</t>
    </r>
  </si>
  <si>
    <t>GÜZ APT. 2007-2008 İŞLETME PROJESİ</t>
  </si>
  <si>
    <t>M. Tevfik KURŞUN</t>
  </si>
  <si>
    <t>14</t>
  </si>
  <si>
    <t>Dükkan 16/B</t>
  </si>
  <si>
    <t>Temmuz-2007 Ödentisi</t>
  </si>
  <si>
    <t>Ağustos-2007 Ödentisi</t>
  </si>
  <si>
    <t>Eylül-2007 Ödentisi</t>
  </si>
  <si>
    <t>Ekim-2007 Ödentisi</t>
  </si>
  <si>
    <t>Kasım-2007 Ödentisi</t>
  </si>
  <si>
    <t>Aralık-2007 Ödentisi</t>
  </si>
  <si>
    <t>Ocak-2008 Ödentisi</t>
  </si>
  <si>
    <t>Şubat-2008 Ödentisi</t>
  </si>
  <si>
    <t>Mart-2008 Ödentisi</t>
  </si>
  <si>
    <t>Nisan-2008 Ödentisi</t>
  </si>
  <si>
    <t>Mayıs-2008 Ödentisi</t>
  </si>
  <si>
    <t>2007 - 2008</t>
  </si>
  <si>
    <t>Haziran-2008 Ödentisi</t>
  </si>
  <si>
    <t>Devreden Kasa hesabı (06.06.2007)</t>
  </si>
  <si>
    <t>R. Ahmet Kurşun Haz.07</t>
  </si>
  <si>
    <t>2007-2008</t>
  </si>
  <si>
    <t>Devreden Alacak</t>
  </si>
  <si>
    <r>
      <t>2006-2007</t>
    </r>
    <r>
      <rPr>
        <sz val="8"/>
        <color indexed="62"/>
        <rFont val="Arial"/>
        <family val="0"/>
      </rPr>
      <t xml:space="preserve"> Döneminde Apartmanımızın yatırım hesaplarının toplam getirisi:</t>
    </r>
    <r>
      <rPr>
        <b/>
        <sz val="8"/>
        <color indexed="62"/>
        <rFont val="Arial"/>
        <family val="2"/>
      </rPr>
      <t xml:space="preserve">   27.09 YTL</t>
    </r>
    <r>
      <rPr>
        <sz val="8"/>
        <color indexed="62"/>
        <rFont val="Arial"/>
        <family val="0"/>
      </rPr>
      <t>'dir.</t>
    </r>
  </si>
  <si>
    <t>4</t>
  </si>
  <si>
    <t>Beki ŞİKAR</t>
  </si>
  <si>
    <t>Dükkan 2/A</t>
  </si>
  <si>
    <t>Ferhan Engin S.S.K. Primi - Mayıs.2007</t>
  </si>
  <si>
    <t>1</t>
  </si>
  <si>
    <t>M. Tevfik  KURŞUN</t>
  </si>
  <si>
    <t>6</t>
  </si>
  <si>
    <t>DAMEKS   Haziran.2007</t>
  </si>
  <si>
    <t>Tevfik Kurşun Haziran.07</t>
  </si>
  <si>
    <t>ETAŞ</t>
  </si>
  <si>
    <t>2</t>
  </si>
  <si>
    <t>ETAŞ  -  Mayıs.2007</t>
  </si>
  <si>
    <t>TEDAŞ Apt.ortak Elk. Mayıs.2007</t>
  </si>
  <si>
    <t>HAZİRAN.2007 SU TÜKETİMİ DAĞILIMI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</si>
  <si>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27.06.2007 </t>
    </r>
    <r>
      <rPr>
        <b/>
        <u val="single"/>
        <sz val="14"/>
        <color indexed="20"/>
        <rFont val="Arial"/>
        <family val="2"/>
      </rPr>
      <t>Çarşamba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</si>
  <si>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IZSU Apt. Ortak Su Parası Haziran.2007</t>
  </si>
  <si>
    <t>Ferhan Engin Haziran.2007 maaş</t>
  </si>
  <si>
    <t>8</t>
  </si>
  <si>
    <t>Tülin Türer Haziran.2007</t>
  </si>
  <si>
    <t>Ferhan Engin 2007 yılı 20 gün izin parası</t>
  </si>
  <si>
    <t>ARSER Haziran.2007 Asansör peryodik bakımı</t>
  </si>
  <si>
    <t>5</t>
  </si>
  <si>
    <t>Avram Levi Temmuz.2007</t>
  </si>
  <si>
    <t>Doğan GÜRCAN Kuaför</t>
  </si>
  <si>
    <t>Dükkan 16</t>
  </si>
  <si>
    <t>Jerry L. STROHKORB</t>
  </si>
  <si>
    <t>7</t>
  </si>
  <si>
    <t>R. Ahmet Kurşun Tem.07</t>
  </si>
  <si>
    <t>Tevfik Kurşun Temmuz.07</t>
  </si>
  <si>
    <t>Ferhan Engin S.S.K. Primi - Haziran.2007</t>
  </si>
  <si>
    <t>Beki Şikar  Temmuz.2007</t>
  </si>
  <si>
    <t>Beki Şikar  Mayıs-Haz.2007</t>
  </si>
  <si>
    <t>3</t>
  </si>
  <si>
    <t>N. Babaoğlu Temmuz.2007</t>
  </si>
  <si>
    <t>TEMMUZ.2007 SU TÜKETİMİ DAĞILIMI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</si>
  <si>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26.07.2007 </t>
    </r>
    <r>
      <rPr>
        <b/>
        <u val="single"/>
        <sz val="14"/>
        <color indexed="20"/>
        <rFont val="Arial"/>
        <family val="2"/>
      </rPr>
      <t>Perşembe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</si>
  <si>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9</t>
  </si>
  <si>
    <t>Figen ÜNER</t>
  </si>
  <si>
    <t>11</t>
  </si>
  <si>
    <t>Fahri ÇAMLIBEL  Tem.07</t>
  </si>
  <si>
    <t>IZSU Apt. Ortak Su Parası Temmuz.2007</t>
  </si>
  <si>
    <t>TEDAŞ Apt.ortak Elk. Haziran.2007</t>
  </si>
  <si>
    <t>Ferhan Engin Temmuz.2007 maaş</t>
  </si>
  <si>
    <t>13</t>
  </si>
  <si>
    <t>Nesim Sigura Haz-Tem.2007</t>
  </si>
  <si>
    <t>Avram Levi Ağustos.2007</t>
  </si>
  <si>
    <t>Jerry L. Strohkorb - Ağus.07</t>
  </si>
  <si>
    <t>Jerry L. Strohkorb - Tem.07</t>
  </si>
  <si>
    <t>Murat BABAOĞLU - Haz.07</t>
  </si>
  <si>
    <t>Murat BABAOĞLU - Tem.07</t>
  </si>
  <si>
    <t>Murat BABAOĞLU - Ağus.07</t>
  </si>
  <si>
    <t>R. Ahmet Kurşun Ağus.07</t>
  </si>
  <si>
    <t>ARSER Temmuz.2007 Asansör peryodik bakımı</t>
  </si>
  <si>
    <t>N. Babaoğlu Ağustos.2007</t>
  </si>
  <si>
    <t>Apt. sokak kaldırımı için alınan PVC boru malzeme</t>
  </si>
  <si>
    <t>Tevfik Kurşun Ağustos.07</t>
  </si>
  <si>
    <t>Figen Üner Temmuz.07</t>
  </si>
  <si>
    <t>Süreyya M. DORKEN</t>
  </si>
  <si>
    <t>12</t>
  </si>
  <si>
    <t>S. M. Dorken Tem.Ağus.07</t>
  </si>
  <si>
    <t>10</t>
  </si>
  <si>
    <t>Melih Ünal</t>
  </si>
  <si>
    <t>Temmuz-2008 Ödentisi</t>
  </si>
  <si>
    <t>TEDAŞ Apt.ortak Elk. Temmuz.2007</t>
  </si>
  <si>
    <t>Ferhan Engin'e çeşitli tesisat işleri için ödenen</t>
  </si>
  <si>
    <t>Nesim Sigura Ağustos.2007</t>
  </si>
  <si>
    <t>Dükkan aidatı 40 milyon yapılırsa: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</si>
  <si>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27.08.2007 </t>
    </r>
    <r>
      <rPr>
        <b/>
        <u val="single"/>
        <sz val="14"/>
        <color indexed="20"/>
        <rFont val="Arial"/>
        <family val="2"/>
      </rPr>
      <t>Pazartesi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</si>
  <si>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AĞUSTOS.2007 SU TÜKETİMİ DAĞILIMI</t>
  </si>
  <si>
    <t>IZSU Apt. Ortak Su Parası Ağustos.2007</t>
  </si>
  <si>
    <t>Tülin Türer Temmuz.2007</t>
  </si>
  <si>
    <t>Tülin Türer Ağustos.2007</t>
  </si>
  <si>
    <t>Ferhan Engin Ağustos.2007 maaş</t>
  </si>
  <si>
    <t>R. Ahmet Kurşun Eylül.07</t>
  </si>
  <si>
    <t>Beki Şikar  Ağus.-Eylül.2007</t>
  </si>
  <si>
    <t>Jerry L. Strohkorb - Eylül.07</t>
  </si>
  <si>
    <t>Apt. kapısı şifre numeratörü için buzzer (ilave zil)</t>
  </si>
  <si>
    <t>ARSER Ağustos.2007 Asansör peryodik bakımı</t>
  </si>
  <si>
    <t>Fahri ÇAMLIBEL  Ağus.07</t>
  </si>
  <si>
    <t>N. Babaoğlu Eylül.2007</t>
  </si>
  <si>
    <t>Çatı tes.hava bacası ve aydınlık için kuş teli 4 m.</t>
  </si>
  <si>
    <t>Ferhan Engin S.S.K. Primi - Temmuz.2007</t>
  </si>
  <si>
    <t>Ferhan Engin S.S.K. Primi - Ağustos.2007</t>
  </si>
  <si>
    <t>Süreyya M. Dorken Eylül.07</t>
  </si>
  <si>
    <t>Nesim Sigura Eylül.2007</t>
  </si>
  <si>
    <t>TEDAŞ Apt.ortak Elk. Ağustos.2007</t>
  </si>
  <si>
    <t>EYLÜL.2007 SU TÜKETİMİ DAĞILIMI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</si>
  <si>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01.09.2007 </t>
    </r>
    <r>
      <rPr>
        <b/>
        <u val="single"/>
        <sz val="14"/>
        <color indexed="20"/>
        <rFont val="Arial"/>
        <family val="2"/>
      </rPr>
      <t>Pazartesi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</si>
  <si>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Figen Üner Ağustos.07</t>
  </si>
  <si>
    <t>Figen Üner Eyl.07/1</t>
  </si>
  <si>
    <t>Çetin ALTAN</t>
  </si>
  <si>
    <t>Dükkan 2/B</t>
  </si>
  <si>
    <t>IZSU Apt. Ortak Su Parası Eylül.2007</t>
  </si>
  <si>
    <t>Tülin Türer Eylül.2007</t>
  </si>
  <si>
    <t>Dükkan 16/A</t>
  </si>
  <si>
    <t>Tevfik Kurşun Eylül.07</t>
  </si>
  <si>
    <t>M. Tevfik Kurşun Eylül.07</t>
  </si>
  <si>
    <t>Ferhan Engin Eylül.2007 maaş</t>
  </si>
  <si>
    <t>Avram Levi Ekim.2007</t>
  </si>
  <si>
    <t>Avram Levi Eylül.2007</t>
  </si>
  <si>
    <t>R. Ahmet Kurşun Ekim.07</t>
  </si>
  <si>
    <t>Jerry L. Strohkorb - Ekim.07</t>
  </si>
  <si>
    <t>Süreyya M. Dorken Ekim.07</t>
  </si>
  <si>
    <t>DAMEKS   Tem-Ekim.2007</t>
  </si>
  <si>
    <t>ETAŞ  -  Haz.-Eylül.2007</t>
  </si>
  <si>
    <t>ARSER Eylül.2007 Asansör peryodik bakımı</t>
  </si>
  <si>
    <t>Baca-kazan temizliği için Demirdoğan firmasına öd.</t>
  </si>
  <si>
    <t>Merdiven sahan. için 10 ad.Osram soft tone ampul</t>
  </si>
  <si>
    <t>Tevfik Kurşun Ekim.07</t>
  </si>
  <si>
    <t>N. Babaoğlu Ekim.2007</t>
  </si>
  <si>
    <t>Murat BABAOĞLU - Eylül.07</t>
  </si>
  <si>
    <t>Murat BABAOĞLU - Ekim.07</t>
  </si>
  <si>
    <t>Nesim Sigura Ekim.2007</t>
  </si>
  <si>
    <t>Ferhan Engin S.S.K. Primi - Eylül.2007</t>
  </si>
  <si>
    <t>Apt. girişi asma tavanı için çubuk ampul</t>
  </si>
  <si>
    <t>M. Tevfik Kurşun Ekim.07</t>
  </si>
  <si>
    <t>Doğan Gürcan Ağu.Eyl.2007</t>
  </si>
  <si>
    <t>Beki Şikar  Ekim.2007</t>
  </si>
  <si>
    <t>Figen Üner Eyl./2-Ekim.07</t>
  </si>
  <si>
    <t>As.kule.de çatı arasına çıkış kapısı için asma kilit</t>
  </si>
  <si>
    <t>TEDAŞ Apt.ortak Elk. Eylül.2007</t>
  </si>
  <si>
    <t>Çağ Isıtma-kalorifer sirkülasyon pomp.mot.sarımı</t>
  </si>
  <si>
    <r>
      <t>2006-2007</t>
    </r>
    <r>
      <rPr>
        <sz val="8"/>
        <color indexed="62"/>
        <rFont val="Arial"/>
        <family val="0"/>
      </rPr>
      <t xml:space="preserve"> Döneminde Apartmanımızın yatırım hesaplarının toplam getirisi:</t>
    </r>
    <r>
      <rPr>
        <b/>
        <sz val="8"/>
        <color indexed="62"/>
        <rFont val="Arial"/>
        <family val="2"/>
      </rPr>
      <t xml:space="preserve"> 27.09 YTL</t>
    </r>
    <r>
      <rPr>
        <sz val="8"/>
        <color indexed="62"/>
        <rFont val="Arial"/>
        <family val="0"/>
      </rPr>
      <t>'dir.</t>
    </r>
  </si>
  <si>
    <t>Apt.merd.sahanlık Elektrik Tadilatı işleri</t>
  </si>
  <si>
    <t>Apt.merd.sahanlık ve kapı boya badana işleri</t>
  </si>
  <si>
    <t>Tadilat işleri ödemesi için yapılan EFT masrafı</t>
  </si>
  <si>
    <t>Doğan Gürcan Tem.2007</t>
  </si>
  <si>
    <t>Doğan Gürcan Ekim.2007</t>
  </si>
  <si>
    <t>Tülin Türer Ekim.2007</t>
  </si>
  <si>
    <t>Avram Levi Kasım.2007</t>
  </si>
  <si>
    <t>ARSER Ekim.2007 Asansör peryodik bakımı</t>
  </si>
  <si>
    <t>Jerry L. Strohkorb - Kasım.07</t>
  </si>
  <si>
    <t>Süreyya M. Dorken Kas.07</t>
  </si>
  <si>
    <t>R. Ahmet Kurşun Kasım.07</t>
  </si>
  <si>
    <t>Tevfik Kurşun Kasım.07</t>
  </si>
  <si>
    <t>M. Tevfik Kurşun Kasım.07</t>
  </si>
  <si>
    <t>Murat BABAOĞLU - Kas.07</t>
  </si>
  <si>
    <t>Doğan Gürcan Kasım.2007</t>
  </si>
  <si>
    <t>İthal kömür (10 Ton) (400 YTL/Kg.)</t>
  </si>
  <si>
    <t>Kömür ödemesi EFT ücreti</t>
  </si>
  <si>
    <t>Ferhan Engin S.S.K. Primi - Ekim.2007</t>
  </si>
  <si>
    <r>
      <t>EKİM - KASIM</t>
    </r>
    <r>
      <rPr>
        <b/>
        <sz val="18"/>
        <color indexed="62"/>
        <rFont val="Arial"/>
        <family val="0"/>
      </rPr>
      <t>.2007 SU TÜKETİMİ DAĞILIMI</t>
    </r>
  </si>
  <si>
    <t>212.3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</si>
  <si>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28.11.2007 </t>
    </r>
    <r>
      <rPr>
        <b/>
        <u val="single"/>
        <sz val="14"/>
        <color indexed="20"/>
        <rFont val="Arial"/>
        <family val="2"/>
      </rPr>
      <t>Çarşamba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</si>
  <si>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(*)</t>
  </si>
  <si>
    <r>
      <t>(*)</t>
    </r>
    <r>
      <rPr>
        <b/>
        <sz val="9"/>
        <rFont val="Arial"/>
        <family val="2"/>
      </rPr>
      <t xml:space="preserve"> Not: İZSU'nun sayaç okuma işine ilişkin yeni ihale yapmasında oluşan aksaklık nedeniyle geçen ay su parası ödenmemiştir.</t>
    </r>
  </si>
  <si>
    <t>TEDAŞ Apt.ortak Elk. Ekim.2007</t>
  </si>
  <si>
    <t>Figen Üner Kasım.2007</t>
  </si>
  <si>
    <t>Nesim Sigura Kasım.2007</t>
  </si>
  <si>
    <t>N. Babaoğlu Kasım.2007</t>
  </si>
  <si>
    <t>Tülin Türer Kasım.2007</t>
  </si>
  <si>
    <t>Beki Şikar  Kasım.2007</t>
  </si>
  <si>
    <t>IZSU Apt. Ortak Su Parası Ekim-Kasım.2007</t>
  </si>
  <si>
    <t>Avram Levi Aralık.2007</t>
  </si>
  <si>
    <t>Murat BABAOĞLU - Ara.07</t>
  </si>
  <si>
    <t>Doğan Gürcan Aralık.2007</t>
  </si>
  <si>
    <t>Jerry L. Strohkorb - Aralık.07</t>
  </si>
  <si>
    <t>Ferhan Engin Ekim.2007 maaş</t>
  </si>
  <si>
    <t>Ferhan Engin 10 ton kömür taşıma bedeli</t>
  </si>
  <si>
    <t>Ferhan Engin Kasım.2007 Süt Parası</t>
  </si>
  <si>
    <t>Süreyya M. Dorken Ara.07</t>
  </si>
  <si>
    <t>R. Ahmet Kurşun Aralık.07</t>
  </si>
  <si>
    <t>ARSER Kasım.2007 Asansör peryodik bakımı</t>
  </si>
  <si>
    <t>Beki Şikar  Aralık.2007</t>
  </si>
  <si>
    <t>N. Babaoğlu Aralık.2007</t>
  </si>
  <si>
    <t>Tevfik Kurşun Aralık.07</t>
  </si>
  <si>
    <t>Figen Üner Aralık.2007</t>
  </si>
  <si>
    <t>Ferhan Engin Bayram ikramiyesi /2</t>
  </si>
  <si>
    <t>Ferhan Engin Bayram ikramiyesi /1</t>
  </si>
  <si>
    <t>Ferhan Engin S.S.K. Primi - Kasım.2007</t>
  </si>
  <si>
    <t>M. Tevfik Kurşun Aralık.07</t>
  </si>
  <si>
    <t>TEDAŞ Apt.ortak Elk. Kasım.2007</t>
  </si>
  <si>
    <t>Tülin Türer Aralık.2007</t>
  </si>
  <si>
    <t>Nesim Sigura Aralık.2007</t>
  </si>
  <si>
    <t>ARALIK.2007 SU TÜKETİMİ DAĞILIMI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</si>
  <si>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02.01.2008 </t>
    </r>
    <r>
      <rPr>
        <b/>
        <u val="single"/>
        <sz val="14"/>
        <color indexed="20"/>
        <rFont val="Arial"/>
        <family val="2"/>
      </rPr>
      <t>Çarşamba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</si>
  <si>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IZSU Apt. Ortak Su Parası Aralık.2007</t>
  </si>
  <si>
    <t>Ferhan Engin Aralık.2007 Maaş</t>
  </si>
  <si>
    <t>Ferhan Engin Kasım.2007 Maaş</t>
  </si>
  <si>
    <t>Ferhan Engin Aralık.2007 Süt Parası</t>
  </si>
  <si>
    <t>Avram Levi Ocak.2008</t>
  </si>
  <si>
    <t>R. Ahmet Kurşun Ocak.08</t>
  </si>
  <si>
    <t>Süreyya M. Dorken Ocak.08</t>
  </si>
  <si>
    <t>M. Tevfik Kurşun Ocak.08</t>
  </si>
  <si>
    <t>Figen Üner Ocak.2008</t>
  </si>
  <si>
    <t>Jerry L. Strohkorb - Ocak.08</t>
  </si>
  <si>
    <t>ARSER Aralık.2007 Asansör peryodik bakımı</t>
  </si>
  <si>
    <t>Nesim Sigura Ocak.2008</t>
  </si>
  <si>
    <t>Murat BABAOĞLU - Oca.08</t>
  </si>
  <si>
    <t>Kalorifer kazan arızası için yap.onarım çalışması</t>
  </si>
  <si>
    <t>İş eldiveni</t>
  </si>
  <si>
    <t>Ferhan Engin S.S.K. Primi - Aralık.2007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</si>
  <si>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28.01.2008 </t>
    </r>
    <r>
      <rPr>
        <b/>
        <u val="single"/>
        <sz val="14"/>
        <color indexed="20"/>
        <rFont val="Arial"/>
        <family val="2"/>
      </rPr>
      <t>Pazartesi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</si>
  <si>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TEDAŞ Apt.ortak Elk. Aralık.2007</t>
  </si>
  <si>
    <t>OCAK.2008 SU TÜKETİMİ DAĞILIMI</t>
  </si>
  <si>
    <t>Tülin Türer Ocak.2008</t>
  </si>
  <si>
    <t>Tevfik Kurşun Ocak.08</t>
  </si>
  <si>
    <t>R. Ahmet Kurşun Şubat.08</t>
  </si>
  <si>
    <t>Avram Levi Şubat.2008</t>
  </si>
  <si>
    <t>Tevfik Kurşun Şubat.08</t>
  </si>
  <si>
    <t>IZSU Apt. Ortak Su Parası Ocak.2008</t>
  </si>
  <si>
    <t>EKSTRE'ye DÖN</t>
  </si>
  <si>
    <t>Kalorifer kazan külü attırma bedeli</t>
  </si>
  <si>
    <t>Murat BABAOĞLU - Şub.08</t>
  </si>
  <si>
    <t>Süreyya M. Dorken Şubat.08</t>
  </si>
  <si>
    <t>Jerry L. Strohkorb - Şubat.08</t>
  </si>
  <si>
    <t>Figen Üner Şubat.2008</t>
  </si>
  <si>
    <t>Asansör kabini için 9W Ekonomik ampul</t>
  </si>
  <si>
    <t>ETAŞ 2 no.lu konut için Noter ihtar masrafı</t>
  </si>
  <si>
    <t>Melih ÜNAL 10 no.lu konut için Noter ihtar masrafı</t>
  </si>
  <si>
    <t>Beki Şikar  Ocak-Şub.2008</t>
  </si>
  <si>
    <t>Ferhan Engin S.S.K. Primi - Ocak.2008</t>
  </si>
  <si>
    <t>TEDAŞ Apt.ortak Elk. Ocak.2008</t>
  </si>
  <si>
    <t xml:space="preserve">DAMEKS 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</si>
  <si>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03.03.2008 </t>
    </r>
    <r>
      <rPr>
        <b/>
        <u val="single"/>
        <sz val="14"/>
        <color indexed="20"/>
        <rFont val="Arial"/>
        <family val="2"/>
      </rPr>
      <t>Pazartesi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</si>
  <si>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ŞUBAT.2008 SU TÜKETİMİ DAĞILIMI</t>
  </si>
  <si>
    <t>Su Sayacı (arızalanan Ortak Su sayacının değiş.)</t>
  </si>
  <si>
    <t>Küresel vana ECA 1 1/4" (ortak su hattı için)</t>
  </si>
  <si>
    <t>Avram Levi Mart.2008</t>
  </si>
  <si>
    <t>R. Ahmet Kurşun Mart.08</t>
  </si>
  <si>
    <t>Tevfik Kurşun Mart.08</t>
  </si>
  <si>
    <t>M. Tevfik Kurşun Mart.08</t>
  </si>
  <si>
    <t>M. Tevfik Kurşun Şubat.08</t>
  </si>
  <si>
    <t>İthal kömür I. Ödeme (8 ton)</t>
  </si>
  <si>
    <t>İthal kömür 2. Ödeme (8 ton)</t>
  </si>
  <si>
    <t>İthal kömür 3. ve son Ödeme (8 ton-420YTL/Ton)</t>
  </si>
  <si>
    <t>Ferhan Engin 8 ton kömür taşıma bedeli</t>
  </si>
  <si>
    <t>Ferhan Engin İşbank hesap işletim ücreti ödenen</t>
  </si>
  <si>
    <t>Ferhan Engin Süt Parası Şubat.2008</t>
  </si>
  <si>
    <t>Küresel vanalı musluk ECA 1/2"  2 ad.x24.-YTL</t>
  </si>
  <si>
    <t>1/2" galvanizli T (kazan dairesi için alınan malz.)</t>
  </si>
  <si>
    <t>Jerry L. Strohkorb - Mart.08</t>
  </si>
  <si>
    <t>Tülin Türer Şubat.2008</t>
  </si>
  <si>
    <t>Süreyya M. Dorken Mart.08</t>
  </si>
  <si>
    <t>Murat BABAOĞLU - Mart.08</t>
  </si>
  <si>
    <t>Ferhan Engin Şubat.2008 Maaş</t>
  </si>
  <si>
    <t>Ferhan Engin Ocak.2008 Maaş</t>
  </si>
  <si>
    <r>
      <t>Kazan D.ve ortak su tes.da vana değişimİ-</t>
    </r>
    <r>
      <rPr>
        <sz val="10"/>
        <color indexed="18"/>
        <rFont val="Arial"/>
        <family val="2"/>
      </rPr>
      <t>İŞÇİLİK</t>
    </r>
  </si>
  <si>
    <t>ARSER Şubat.2008 Asansör peryodik bakımı</t>
  </si>
  <si>
    <t>ARSER Ocak.2008 Asansör peryodik bakımı</t>
  </si>
  <si>
    <t>N. Babaoğlu Ocak.2008</t>
  </si>
  <si>
    <t>N. Babaoğlu Şubat.2008</t>
  </si>
  <si>
    <t>Ferhan Engin S.S.K. Primi - Şubat.2008</t>
  </si>
  <si>
    <t>İlaçlama pompası 7 litre Delta</t>
  </si>
  <si>
    <t>Zirai ilaç Imperator 1 litre</t>
  </si>
  <si>
    <t>Nesim Sigura Şubat.2008</t>
  </si>
  <si>
    <t>Nesim Sigura Mart.2008</t>
  </si>
  <si>
    <t>Beki Şikar  Mart.2008</t>
  </si>
  <si>
    <t>MART.2008 SU TÜKETİMİ DAĞILIMI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</si>
  <si>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26.03.2008 </t>
    </r>
    <r>
      <rPr>
        <b/>
        <u val="single"/>
        <sz val="14"/>
        <color indexed="20"/>
        <rFont val="Arial"/>
        <family val="2"/>
      </rPr>
      <t>Çarşamba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</si>
  <si>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Ortak Su (*)</t>
  </si>
  <si>
    <t>(*) Not: Ortak su sayacı arızalandığı için yönetimce değiştirilmiştir.</t>
  </si>
  <si>
    <t>TEDAŞ Apt.ortak Elk. Şubat.2008</t>
  </si>
  <si>
    <t>Tülin Türer Mart.2008</t>
  </si>
  <si>
    <t>Figen Üner Mart.2008</t>
  </si>
  <si>
    <t>Ferhan Engin Mart.2008 Maaş</t>
  </si>
  <si>
    <t>Ferhan Engin Süt Parası Mart.2008</t>
  </si>
  <si>
    <t>Avram Levi Nisan.2008</t>
  </si>
  <si>
    <t>R. Ahmet Kurşun Nisan.08</t>
  </si>
  <si>
    <t>Tevfik Kurşun Nisan.08</t>
  </si>
  <si>
    <t>M. Tevfik Kurşun Nisan.08</t>
  </si>
  <si>
    <t>Nesim Sigura Nisan.2008</t>
  </si>
  <si>
    <t>Süreyya M. Dorken Nisan.08</t>
  </si>
  <si>
    <t>Jerry L. Strohkorb - Nisan.08</t>
  </si>
  <si>
    <t>Murat BABAOĞLU - Nis.08</t>
  </si>
  <si>
    <t>ARSER Mart.2008 Asansör peryodik bakımı</t>
  </si>
  <si>
    <t>Ferhan Engin S.S.K. Primi - Mart.2008</t>
  </si>
  <si>
    <t>Figen Üner Nisan.2008</t>
  </si>
  <si>
    <t>Beki Şikar  Nisan.2008</t>
  </si>
  <si>
    <t>NİSAN.2008 SU TÜKETİMİ DAĞILIMI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</si>
  <si>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28.04.2008 </t>
    </r>
    <r>
      <rPr>
        <b/>
        <u val="single"/>
        <sz val="14"/>
        <color indexed="20"/>
        <rFont val="Arial"/>
        <family val="2"/>
      </rPr>
      <t>Pazartesi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</si>
  <si>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IZSU Apt. Ortak Su Parası Şubat.2008</t>
  </si>
  <si>
    <t>IZSU Apt. Ortak Su Parası Nisan.2008</t>
  </si>
  <si>
    <t>IZSU Apt. Ortak Su Parası Mart.2008</t>
  </si>
  <si>
    <t>TEDAŞ Apt.ortak Elk. Mart.2008</t>
  </si>
  <si>
    <t>N. Babaoğlu Mart.2008</t>
  </si>
  <si>
    <t>N. Babaoğlu Nisan.2008</t>
  </si>
  <si>
    <t>Tülin Türer Nisan.2008</t>
  </si>
  <si>
    <t>Ferhan Engin Nisan.2008 Maaş</t>
  </si>
  <si>
    <t>Ferhan Engin Süt Parası Nisan.2008</t>
  </si>
  <si>
    <t>Doğan Gürcan Oc.-Mar.2008</t>
  </si>
  <si>
    <t>Doğan Gürcan Nisan.2008</t>
  </si>
  <si>
    <t>Avram Levi Mayıs.2008</t>
  </si>
  <si>
    <t>Tevfik Kurşun Mayıs.08</t>
  </si>
  <si>
    <t>R. Ahmet Kurşun Mayıs.08</t>
  </si>
  <si>
    <t>ARSER Nisan.2008 Asansör peryodik bakımı</t>
  </si>
  <si>
    <t>05.05.2008</t>
  </si>
  <si>
    <t>Süreyya M. Dorken Mayıs.08</t>
  </si>
  <si>
    <t>Murat BABAOĞLU - May.08</t>
  </si>
  <si>
    <t>ER-SEL Ticaret</t>
  </si>
  <si>
    <t>ER-SEL Ticaret Mayıs.2008</t>
  </si>
  <si>
    <t>N. Babaoğlu Mayıs.2008</t>
  </si>
  <si>
    <t>Dükkanlar için ilave pano Ercan Elektrik avans</t>
  </si>
  <si>
    <t>Jerry L. Strohkorb - Mayıs.08</t>
  </si>
  <si>
    <t>Fahri Çamlıbel 9 no.lu konut için Noter ihtar mas.</t>
  </si>
  <si>
    <t>Ferhan Engin S.S.K. Primi - Nisan.2008</t>
  </si>
  <si>
    <t>Beki Şikar  Mayıs.2008</t>
  </si>
  <si>
    <t>Dükkanlar için ilave pano Ercan Elektrik 2.ödeme</t>
  </si>
  <si>
    <r>
      <t>Su bedellerinin en geç</t>
    </r>
    <r>
      <rPr>
        <b/>
        <sz val="14"/>
        <color indexed="18"/>
        <rFont val="Arial"/>
        <family val="2"/>
      </rPr>
      <t xml:space="preserve">  </t>
    </r>
    <r>
      <rPr>
        <b/>
        <sz val="14"/>
        <color indexed="20"/>
        <rFont val="Arial"/>
        <family val="2"/>
      </rPr>
      <t xml:space="preserve">29.05.2008 </t>
    </r>
    <r>
      <rPr>
        <b/>
        <u val="single"/>
        <sz val="14"/>
        <color indexed="20"/>
        <rFont val="Arial"/>
        <family val="2"/>
      </rPr>
      <t>Perşembe</t>
    </r>
    <r>
      <rPr>
        <b/>
        <sz val="13"/>
        <color indexed="18"/>
        <rFont val="Arial"/>
        <family val="2"/>
      </rPr>
      <t xml:space="preserve"> </t>
    </r>
    <r>
      <rPr>
        <b/>
        <sz val="13"/>
        <rFont val="Arial"/>
        <family val="2"/>
      </rPr>
      <t>gününe kadar ödenmesini rica ederim.</t>
    </r>
  </si>
  <si>
    <t>MAYIS.2008 SU TÜKETİMİ DAĞILIMI</t>
  </si>
  <si>
    <t>TEDAŞ Apt.ortak Elk. Nisan.2008</t>
  </si>
  <si>
    <t>Figen Üner Mayıs.2008</t>
  </si>
  <si>
    <t>Tülin Türer Mayıs.2008</t>
  </si>
  <si>
    <t>IZSU Apt. Ortak Su Parası Mayıs.2008</t>
  </si>
  <si>
    <t>Doğan Gürcan Mayıs.2008</t>
  </si>
  <si>
    <t>Ferhan Engin Mayıs.2008 Maaş</t>
  </si>
</sst>
</file>

<file path=xl/styles.xml><?xml version="1.0" encoding="utf-8"?>
<styleSheet xmlns="http://schemas.openxmlformats.org/spreadsheetml/2006/main">
  <numFmts count="3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TL&quot;"/>
    <numFmt numFmtId="173" formatCode="[$-41F]dd\ mmmm\ yyyy\ dddd"/>
    <numFmt numFmtId="174" formatCode="#,##0.00\ &quot;TL&quot;"/>
    <numFmt numFmtId="175" formatCode="#,##0\ _T_L"/>
    <numFmt numFmtId="176" formatCode="#,##0.0\ &quot;TL&quot;"/>
    <numFmt numFmtId="177" formatCode="#,##0.00\ _T_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;[Red]\-0\ "/>
    <numFmt numFmtId="183" formatCode="#,##0.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0.0%"/>
    <numFmt numFmtId="188" formatCode="#,##0.00\ [$YTL-41F]"/>
    <numFmt numFmtId="189" formatCode="#,##0.00\ [$TL-41F];[Red]\-#,##0.00\ [$TL-41F]"/>
    <numFmt numFmtId="190" formatCode="#,##0.00\ [$YTL-41F];[Red]\-#,##0.00\ [$YTL-41F]"/>
    <numFmt numFmtId="191" formatCode="#,##0.00000\ &quot;YTL&quot;"/>
    <numFmt numFmtId="192" formatCode="#,##0.00\ &quot;YTL&quot;"/>
  </numFmts>
  <fonts count="123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4"/>
      <color indexed="19"/>
      <name val="Arial"/>
      <family val="2"/>
    </font>
    <font>
      <sz val="10"/>
      <color indexed="53"/>
      <name val="Arial"/>
      <family val="0"/>
    </font>
    <font>
      <b/>
      <sz val="13"/>
      <color indexed="19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4"/>
      <color indexed="17"/>
      <name val="Arial"/>
      <family val="2"/>
    </font>
    <font>
      <sz val="11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2"/>
      <name val="Arial"/>
      <family val="0"/>
    </font>
    <font>
      <b/>
      <sz val="16"/>
      <color indexed="19"/>
      <name val="Arial"/>
      <family val="2"/>
    </font>
    <font>
      <b/>
      <sz val="15"/>
      <color indexed="19"/>
      <name val="Arial"/>
      <family val="2"/>
    </font>
    <font>
      <sz val="10"/>
      <color indexed="61"/>
      <name val="Arial"/>
      <family val="0"/>
    </font>
    <font>
      <b/>
      <sz val="10"/>
      <color indexed="61"/>
      <name val="Arial"/>
      <family val="0"/>
    </font>
    <font>
      <b/>
      <sz val="18"/>
      <color indexed="19"/>
      <name val="Arial"/>
      <family val="2"/>
    </font>
    <font>
      <sz val="12"/>
      <name val="Arial"/>
      <family val="2"/>
    </font>
    <font>
      <sz val="10"/>
      <color indexed="55"/>
      <name val="Arial"/>
      <family val="0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1"/>
      <color indexed="60"/>
      <name val="Arial"/>
      <family val="2"/>
    </font>
    <font>
      <b/>
      <sz val="12"/>
      <color indexed="12"/>
      <name val="Arial"/>
      <family val="0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0"/>
    </font>
    <font>
      <b/>
      <sz val="8"/>
      <color indexed="55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0"/>
      <color indexed="1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20"/>
      <color indexed="31"/>
      <name val="Arial"/>
      <family val="2"/>
    </font>
    <font>
      <b/>
      <sz val="16"/>
      <color indexed="31"/>
      <name val="Arial"/>
      <family val="2"/>
    </font>
    <font>
      <sz val="10"/>
      <color indexed="31"/>
      <name val="Arial"/>
      <family val="2"/>
    </font>
    <font>
      <b/>
      <sz val="10"/>
      <color indexed="31"/>
      <name val="Arial"/>
      <family val="2"/>
    </font>
    <font>
      <b/>
      <sz val="10"/>
      <color indexed="55"/>
      <name val="Arial"/>
      <family val="2"/>
    </font>
    <font>
      <b/>
      <sz val="12"/>
      <color indexed="54"/>
      <name val="Arial"/>
      <family val="2"/>
    </font>
    <font>
      <b/>
      <sz val="10"/>
      <color indexed="54"/>
      <name val="Arial"/>
      <family val="2"/>
    </font>
    <font>
      <sz val="12"/>
      <color indexed="31"/>
      <name val="Arial"/>
      <family val="0"/>
    </font>
    <font>
      <sz val="11"/>
      <color indexed="31"/>
      <name val="Arial"/>
      <family val="0"/>
    </font>
    <font>
      <b/>
      <sz val="12"/>
      <color indexed="31"/>
      <name val="Arial"/>
      <family val="2"/>
    </font>
    <font>
      <sz val="12"/>
      <color indexed="44"/>
      <name val="Arial"/>
      <family val="2"/>
    </font>
    <font>
      <b/>
      <sz val="11"/>
      <color indexed="31"/>
      <name val="Arial"/>
      <family val="0"/>
    </font>
    <font>
      <sz val="10"/>
      <color indexed="63"/>
      <name val="Arial"/>
      <family val="0"/>
    </font>
    <font>
      <b/>
      <sz val="8"/>
      <color indexed="31"/>
      <name val="Arial"/>
      <family val="2"/>
    </font>
    <font>
      <b/>
      <sz val="10"/>
      <color indexed="63"/>
      <name val="Arial"/>
      <family val="2"/>
    </font>
    <font>
      <sz val="12"/>
      <name val="Times New Roman"/>
      <family val="1"/>
    </font>
    <font>
      <sz val="12"/>
      <color indexed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54"/>
      <name val="Arial"/>
      <family val="0"/>
    </font>
    <font>
      <b/>
      <sz val="10"/>
      <color indexed="10"/>
      <name val="Arial"/>
      <family val="2"/>
    </font>
    <font>
      <sz val="8"/>
      <color indexed="55"/>
      <name val="Arial"/>
      <family val="0"/>
    </font>
    <font>
      <sz val="8"/>
      <color indexed="63"/>
      <name val="Arial"/>
      <family val="0"/>
    </font>
    <font>
      <b/>
      <sz val="11"/>
      <color indexed="18"/>
      <name val="Arial"/>
      <family val="2"/>
    </font>
    <font>
      <b/>
      <sz val="16"/>
      <color indexed="47"/>
      <name val="Arial"/>
      <family val="2"/>
    </font>
    <font>
      <sz val="10"/>
      <color indexed="47"/>
      <name val="Arial"/>
      <family val="2"/>
    </font>
    <font>
      <b/>
      <sz val="16"/>
      <color indexed="60"/>
      <name val="Arial"/>
      <family val="2"/>
    </font>
    <font>
      <b/>
      <sz val="14"/>
      <color indexed="47"/>
      <name val="Arial"/>
      <family val="2"/>
    </font>
    <font>
      <b/>
      <sz val="10"/>
      <color indexed="47"/>
      <name val="Arial"/>
      <family val="2"/>
    </font>
    <font>
      <sz val="14"/>
      <name val="Arial"/>
      <family val="2"/>
    </font>
    <font>
      <b/>
      <sz val="19"/>
      <color indexed="47"/>
      <name val="Arial"/>
      <family val="2"/>
    </font>
    <font>
      <b/>
      <sz val="12"/>
      <color indexed="47"/>
      <name val="Arial"/>
      <family val="2"/>
    </font>
    <font>
      <b/>
      <sz val="11"/>
      <color indexed="10"/>
      <name val="Arial"/>
      <family val="2"/>
    </font>
    <font>
      <sz val="14"/>
      <color indexed="12"/>
      <name val="Arial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24"/>
      <color indexed="18"/>
      <name val="Arial"/>
      <family val="2"/>
    </font>
    <font>
      <sz val="8"/>
      <color indexed="62"/>
      <name val="Arial"/>
      <family val="0"/>
    </font>
    <font>
      <sz val="10"/>
      <color indexed="17"/>
      <name val="Arial"/>
      <family val="2"/>
    </font>
    <font>
      <b/>
      <sz val="26"/>
      <color indexed="18"/>
      <name val="Arial"/>
      <family val="2"/>
    </font>
    <font>
      <b/>
      <sz val="10"/>
      <color indexed="43"/>
      <name val="Arial"/>
      <family val="2"/>
    </font>
    <font>
      <b/>
      <sz val="8"/>
      <color indexed="18"/>
      <name val="Arial"/>
      <family val="2"/>
    </font>
    <font>
      <b/>
      <sz val="18"/>
      <name val="Arial"/>
      <family val="2"/>
    </font>
    <font>
      <b/>
      <sz val="8"/>
      <color indexed="62"/>
      <name val="Arial"/>
      <family val="2"/>
    </font>
    <font>
      <b/>
      <sz val="14"/>
      <color indexed="31"/>
      <name val="Arial"/>
      <family val="2"/>
    </font>
    <font>
      <sz val="10"/>
      <color indexed="21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indexed="18"/>
      <name val="Arial"/>
      <family val="0"/>
    </font>
    <font>
      <b/>
      <sz val="16"/>
      <color indexed="18"/>
      <name val="Arial"/>
      <family val="0"/>
    </font>
    <font>
      <b/>
      <sz val="10"/>
      <color indexed="16"/>
      <name val="Arial"/>
      <family val="2"/>
    </font>
    <font>
      <sz val="11"/>
      <color indexed="63"/>
      <name val="Arial"/>
      <family val="0"/>
    </font>
    <font>
      <b/>
      <sz val="11"/>
      <color indexed="63"/>
      <name val="Arial"/>
      <family val="2"/>
    </font>
    <font>
      <sz val="10"/>
      <color indexed="59"/>
      <name val="Arial"/>
      <family val="0"/>
    </font>
    <font>
      <b/>
      <sz val="10"/>
      <color indexed="59"/>
      <name val="Arial"/>
      <family val="2"/>
    </font>
    <font>
      <sz val="10"/>
      <color indexed="41"/>
      <name val="Arial"/>
      <family val="0"/>
    </font>
    <font>
      <b/>
      <sz val="8"/>
      <name val="Arial Tur"/>
      <family val="0"/>
    </font>
    <font>
      <b/>
      <sz val="10"/>
      <name val="Arial Tur"/>
      <family val="0"/>
    </font>
    <font>
      <b/>
      <sz val="14"/>
      <color indexed="18"/>
      <name val="Arial Tur"/>
      <family val="0"/>
    </font>
    <font>
      <b/>
      <sz val="13"/>
      <color indexed="18"/>
      <name val="Arial"/>
      <family val="2"/>
    </font>
    <font>
      <b/>
      <sz val="22"/>
      <color indexed="20"/>
      <name val="Arial"/>
      <family val="2"/>
    </font>
    <font>
      <b/>
      <sz val="18"/>
      <color indexed="20"/>
      <name val="Arial"/>
      <family val="2"/>
    </font>
    <font>
      <b/>
      <sz val="14"/>
      <color indexed="20"/>
      <name val="Arial"/>
      <family val="2"/>
    </font>
    <font>
      <b/>
      <u val="single"/>
      <sz val="14"/>
      <color indexed="20"/>
      <name val="Arial"/>
      <family val="2"/>
    </font>
    <font>
      <b/>
      <sz val="12"/>
      <color indexed="18"/>
      <name val="Arial"/>
      <family val="2"/>
    </font>
    <font>
      <sz val="10"/>
      <color indexed="62"/>
      <name val="Arial"/>
      <family val="0"/>
    </font>
    <font>
      <b/>
      <sz val="22"/>
      <color indexed="62"/>
      <name val="Arial"/>
      <family val="0"/>
    </font>
    <font>
      <b/>
      <sz val="18"/>
      <color indexed="62"/>
      <name val="Arial"/>
      <family val="0"/>
    </font>
    <font>
      <b/>
      <u val="single"/>
      <sz val="18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u val="single"/>
      <sz val="10"/>
      <color indexed="58"/>
      <name val="Arial"/>
      <family val="0"/>
    </font>
    <font>
      <u val="single"/>
      <sz val="8"/>
      <color indexed="12"/>
      <name val="Comic Sans MS"/>
      <family val="4"/>
    </font>
    <font>
      <u val="single"/>
      <sz val="10"/>
      <name val="Arial"/>
      <family val="0"/>
    </font>
    <font>
      <sz val="9"/>
      <color indexed="18"/>
      <name val="Arial"/>
      <family val="2"/>
    </font>
    <font>
      <b/>
      <sz val="22"/>
      <color indexed="58"/>
      <name val="Arial"/>
      <family val="0"/>
    </font>
    <font>
      <b/>
      <sz val="18"/>
      <color indexed="5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4" fontId="8" fillId="0" borderId="0" xfId="18" applyNumberFormat="1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4" fontId="10" fillId="0" borderId="0" xfId="0" applyNumberFormat="1" applyFont="1" applyAlignment="1">
      <alignment horizontal="left"/>
    </xf>
    <xf numFmtId="14" fontId="10" fillId="0" borderId="0" xfId="18" applyNumberFormat="1" applyFont="1" applyAlignment="1">
      <alignment horizontal="left"/>
    </xf>
    <xf numFmtId="0" fontId="10" fillId="0" borderId="0" xfId="0" applyFont="1" applyAlignment="1">
      <alignment horizontal="left"/>
    </xf>
    <xf numFmtId="14" fontId="1" fillId="0" borderId="0" xfId="18" applyNumberFormat="1" applyFont="1" applyAlignment="1">
      <alignment/>
    </xf>
    <xf numFmtId="0" fontId="11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6" fillId="0" borderId="0" xfId="18" applyNumberFormat="1" applyFont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14" fontId="0" fillId="3" borderId="0" xfId="0" applyNumberFormat="1" applyFill="1" applyAlignment="1">
      <alignment/>
    </xf>
    <xf numFmtId="0" fontId="0" fillId="3" borderId="0" xfId="0" applyFill="1" applyAlignment="1">
      <alignment/>
    </xf>
    <xf numFmtId="14" fontId="0" fillId="3" borderId="5" xfId="0" applyNumberFormat="1" applyFill="1" applyBorder="1" applyAlignment="1">
      <alignment/>
    </xf>
    <xf numFmtId="0" fontId="1" fillId="3" borderId="5" xfId="0" applyFont="1" applyFill="1" applyBorder="1" applyAlignment="1">
      <alignment/>
    </xf>
    <xf numFmtId="172" fontId="1" fillId="3" borderId="5" xfId="0" applyNumberFormat="1" applyFont="1" applyFill="1" applyBorder="1" applyAlignment="1">
      <alignment/>
    </xf>
    <xf numFmtId="172" fontId="0" fillId="3" borderId="5" xfId="0" applyNumberFormat="1" applyFont="1" applyFill="1" applyBorder="1" applyAlignment="1">
      <alignment horizontal="right"/>
    </xf>
    <xf numFmtId="172" fontId="1" fillId="3" borderId="5" xfId="0" applyNumberFormat="1" applyFont="1" applyFill="1" applyBorder="1" applyAlignment="1">
      <alignment horizontal="right"/>
    </xf>
    <xf numFmtId="14" fontId="0" fillId="3" borderId="0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172" fontId="1" fillId="3" borderId="0" xfId="0" applyNumberFormat="1" applyFont="1" applyFill="1" applyBorder="1" applyAlignment="1">
      <alignment/>
    </xf>
    <xf numFmtId="172" fontId="0" fillId="3" borderId="0" xfId="0" applyNumberFormat="1" applyFont="1" applyFill="1" applyBorder="1" applyAlignment="1">
      <alignment horizontal="right"/>
    </xf>
    <xf numFmtId="172" fontId="1" fillId="3" borderId="0" xfId="0" applyNumberFormat="1" applyFont="1" applyFill="1" applyBorder="1" applyAlignment="1">
      <alignment horizontal="right"/>
    </xf>
    <xf numFmtId="172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72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1" fillId="3" borderId="7" xfId="0" applyFont="1" applyFill="1" applyBorder="1" applyAlignment="1">
      <alignment horizontal="center"/>
    </xf>
    <xf numFmtId="172" fontId="6" fillId="2" borderId="8" xfId="0" applyNumberFormat="1" applyFont="1" applyFill="1" applyBorder="1" applyAlignment="1">
      <alignment horizontal="center"/>
    </xf>
    <xf numFmtId="14" fontId="6" fillId="2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72" fontId="0" fillId="3" borderId="9" xfId="0" applyNumberFormat="1" applyFill="1" applyBorder="1" applyAlignment="1">
      <alignment/>
    </xf>
    <xf numFmtId="14" fontId="0" fillId="3" borderId="7" xfId="0" applyNumberForma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" borderId="10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172" fontId="0" fillId="3" borderId="0" xfId="0" applyNumberFormat="1" applyFill="1" applyBorder="1" applyAlignment="1">
      <alignment/>
    </xf>
    <xf numFmtId="172" fontId="1" fillId="0" borderId="11" xfId="0" applyNumberFormat="1" applyFont="1" applyBorder="1" applyAlignment="1">
      <alignment/>
    </xf>
    <xf numFmtId="0" fontId="0" fillId="3" borderId="12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5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21" fillId="3" borderId="5" xfId="0" applyFont="1" applyFill="1" applyBorder="1" applyAlignment="1">
      <alignment/>
    </xf>
    <xf numFmtId="172" fontId="20" fillId="3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3" borderId="5" xfId="0" applyFill="1" applyBorder="1" applyAlignment="1">
      <alignment/>
    </xf>
    <xf numFmtId="172" fontId="19" fillId="3" borderId="0" xfId="0" applyNumberFormat="1" applyFont="1" applyFill="1" applyBorder="1" applyAlignment="1">
      <alignment/>
    </xf>
    <xf numFmtId="14" fontId="22" fillId="3" borderId="0" xfId="18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" borderId="14" xfId="0" applyFont="1" applyFill="1" applyBorder="1" applyAlignment="1">
      <alignment/>
    </xf>
    <xf numFmtId="14" fontId="25" fillId="3" borderId="5" xfId="0" applyNumberFormat="1" applyFont="1" applyFill="1" applyBorder="1" applyAlignment="1">
      <alignment/>
    </xf>
    <xf numFmtId="0" fontId="25" fillId="3" borderId="15" xfId="0" applyFont="1" applyFill="1" applyBorder="1" applyAlignment="1">
      <alignment/>
    </xf>
    <xf numFmtId="0" fontId="25" fillId="3" borderId="6" xfId="0" applyFont="1" applyFill="1" applyBorder="1" applyAlignment="1">
      <alignment/>
    </xf>
    <xf numFmtId="14" fontId="25" fillId="3" borderId="0" xfId="0" applyNumberFormat="1" applyFont="1" applyFill="1" applyBorder="1" applyAlignment="1">
      <alignment/>
    </xf>
    <xf numFmtId="0" fontId="25" fillId="3" borderId="16" xfId="0" applyFont="1" applyFill="1" applyBorder="1" applyAlignment="1">
      <alignment/>
    </xf>
    <xf numFmtId="0" fontId="25" fillId="0" borderId="6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25" fillId="3" borderId="9" xfId="0" applyFont="1" applyFill="1" applyBorder="1" applyAlignment="1">
      <alignment/>
    </xf>
    <xf numFmtId="0" fontId="0" fillId="3" borderId="8" xfId="0" applyFill="1" applyBorder="1" applyAlignment="1">
      <alignment/>
    </xf>
    <xf numFmtId="0" fontId="27" fillId="0" borderId="0" xfId="0" applyFont="1" applyAlignment="1">
      <alignment horizontal="center"/>
    </xf>
    <xf numFmtId="14" fontId="0" fillId="0" borderId="17" xfId="0" applyNumberFormat="1" applyBorder="1" applyAlignment="1">
      <alignment/>
    </xf>
    <xf numFmtId="0" fontId="1" fillId="0" borderId="17" xfId="0" applyFont="1" applyBorder="1" applyAlignment="1">
      <alignment/>
    </xf>
    <xf numFmtId="0" fontId="25" fillId="3" borderId="18" xfId="0" applyFont="1" applyFill="1" applyBorder="1" applyAlignment="1">
      <alignment/>
    </xf>
    <xf numFmtId="14" fontId="0" fillId="3" borderId="17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6" xfId="0" applyFill="1" applyBorder="1" applyAlignment="1">
      <alignment/>
    </xf>
    <xf numFmtId="0" fontId="25" fillId="3" borderId="20" xfId="0" applyFont="1" applyFill="1" applyBorder="1" applyAlignment="1">
      <alignment/>
    </xf>
    <xf numFmtId="14" fontId="25" fillId="3" borderId="21" xfId="0" applyNumberFormat="1" applyFont="1" applyFill="1" applyBorder="1" applyAlignment="1">
      <alignment/>
    </xf>
    <xf numFmtId="0" fontId="25" fillId="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172" fontId="0" fillId="3" borderId="7" xfId="0" applyNumberFormat="1" applyFill="1" applyBorder="1" applyAlignment="1">
      <alignment/>
    </xf>
    <xf numFmtId="0" fontId="13" fillId="0" borderId="24" xfId="0" applyFont="1" applyBorder="1" applyAlignment="1">
      <alignment horizontal="center"/>
    </xf>
    <xf numFmtId="172" fontId="20" fillId="3" borderId="25" xfId="0" applyNumberFormat="1" applyFont="1" applyFill="1" applyBorder="1" applyAlignment="1">
      <alignment horizontal="center"/>
    </xf>
    <xf numFmtId="172" fontId="20" fillId="3" borderId="26" xfId="0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/>
    </xf>
    <xf numFmtId="0" fontId="25" fillId="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3" borderId="29" xfId="0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0" fillId="0" borderId="0" xfId="0" applyFont="1" applyFill="1" applyAlignment="1">
      <alignment horizontal="center"/>
    </xf>
    <xf numFmtId="172" fontId="7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5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36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0" fillId="5" borderId="0" xfId="0" applyFill="1" applyAlignment="1">
      <alignment/>
    </xf>
    <xf numFmtId="14" fontId="8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/>
    </xf>
    <xf numFmtId="172" fontId="0" fillId="3" borderId="12" xfId="0" applyNumberFormat="1" applyFill="1" applyBorder="1" applyAlignment="1">
      <alignment/>
    </xf>
    <xf numFmtId="0" fontId="16" fillId="0" borderId="0" xfId="0" applyFont="1" applyAlignment="1">
      <alignment/>
    </xf>
    <xf numFmtId="0" fontId="39" fillId="0" borderId="0" xfId="0" applyFont="1" applyAlignment="1">
      <alignment horizontal="center"/>
    </xf>
    <xf numFmtId="0" fontId="31" fillId="5" borderId="0" xfId="0" applyFont="1" applyFill="1" applyAlignment="1">
      <alignment horizontal="center"/>
    </xf>
    <xf numFmtId="172" fontId="31" fillId="5" borderId="0" xfId="0" applyNumberFormat="1" applyFont="1" applyFill="1" applyAlignment="1">
      <alignment horizontal="center"/>
    </xf>
    <xf numFmtId="172" fontId="8" fillId="6" borderId="0" xfId="0" applyNumberFormat="1" applyFont="1" applyFill="1" applyAlignment="1">
      <alignment horizontal="center"/>
    </xf>
    <xf numFmtId="14" fontId="8" fillId="7" borderId="0" xfId="0" applyNumberFormat="1" applyFont="1" applyFill="1" applyAlignment="1">
      <alignment horizontal="center"/>
    </xf>
    <xf numFmtId="172" fontId="8" fillId="7" borderId="0" xfId="0" applyNumberFormat="1" applyFont="1" applyFill="1" applyAlignment="1">
      <alignment horizontal="center"/>
    </xf>
    <xf numFmtId="172" fontId="30" fillId="8" borderId="0" xfId="0" applyNumberFormat="1" applyFont="1" applyFill="1" applyAlignment="1">
      <alignment horizontal="center"/>
    </xf>
    <xf numFmtId="172" fontId="30" fillId="8" borderId="0" xfId="0" applyNumberFormat="1" applyFont="1" applyFill="1" applyAlignment="1">
      <alignment horizontal="center"/>
    </xf>
    <xf numFmtId="0" fontId="0" fillId="9" borderId="0" xfId="0" applyFill="1" applyAlignment="1">
      <alignment/>
    </xf>
    <xf numFmtId="0" fontId="6" fillId="9" borderId="0" xfId="0" applyFont="1" applyFill="1" applyAlignment="1">
      <alignment/>
    </xf>
    <xf numFmtId="172" fontId="0" fillId="9" borderId="0" xfId="0" applyNumberFormat="1" applyFill="1" applyAlignment="1">
      <alignment/>
    </xf>
    <xf numFmtId="172" fontId="8" fillId="9" borderId="0" xfId="0" applyNumberFormat="1" applyFont="1" applyFill="1" applyAlignment="1">
      <alignment horizontal="center"/>
    </xf>
    <xf numFmtId="0" fontId="40" fillId="2" borderId="0" xfId="0" applyFont="1" applyFill="1" applyAlignment="1">
      <alignment/>
    </xf>
    <xf numFmtId="0" fontId="0" fillId="2" borderId="3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0" xfId="0" applyFill="1" applyBorder="1" applyAlignment="1">
      <alignment/>
    </xf>
    <xf numFmtId="0" fontId="16" fillId="10" borderId="30" xfId="0" applyFont="1" applyFill="1" applyBorder="1" applyAlignment="1">
      <alignment horizontal="center"/>
    </xf>
    <xf numFmtId="0" fontId="40" fillId="2" borderId="0" xfId="0" applyFont="1" applyFill="1" applyAlignment="1">
      <alignment horizontal="right"/>
    </xf>
    <xf numFmtId="14" fontId="0" fillId="9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11" borderId="0" xfId="0" applyFill="1" applyAlignment="1">
      <alignment/>
    </xf>
    <xf numFmtId="14" fontId="45" fillId="12" borderId="0" xfId="0" applyNumberFormat="1" applyFont="1" applyFill="1" applyAlignment="1">
      <alignment/>
    </xf>
    <xf numFmtId="14" fontId="46" fillId="12" borderId="0" xfId="0" applyNumberFormat="1" applyFont="1" applyFill="1" applyAlignment="1">
      <alignment/>
    </xf>
    <xf numFmtId="172" fontId="47" fillId="12" borderId="0" xfId="0" applyNumberFormat="1" applyFont="1" applyFill="1" applyAlignment="1">
      <alignment/>
    </xf>
    <xf numFmtId="172" fontId="48" fillId="12" borderId="0" xfId="0" applyNumberFormat="1" applyFont="1" applyFill="1" applyAlignment="1">
      <alignment horizontal="center"/>
    </xf>
    <xf numFmtId="14" fontId="10" fillId="0" borderId="0" xfId="0" applyNumberFormat="1" applyFont="1" applyAlignment="1">
      <alignment horizontal="center"/>
    </xf>
    <xf numFmtId="0" fontId="52" fillId="12" borderId="0" xfId="0" applyFont="1" applyFill="1" applyAlignment="1">
      <alignment/>
    </xf>
    <xf numFmtId="0" fontId="53" fillId="12" borderId="0" xfId="0" applyFont="1" applyFill="1" applyAlignment="1">
      <alignment/>
    </xf>
    <xf numFmtId="0" fontId="47" fillId="12" borderId="0" xfId="0" applyFont="1" applyFill="1" applyBorder="1" applyAlignment="1">
      <alignment/>
    </xf>
    <xf numFmtId="14" fontId="54" fillId="12" borderId="0" xfId="0" applyNumberFormat="1" applyFont="1" applyFill="1" applyBorder="1" applyAlignment="1">
      <alignment/>
    </xf>
    <xf numFmtId="172" fontId="55" fillId="12" borderId="0" xfId="0" applyNumberFormat="1" applyFont="1" applyFill="1" applyBorder="1" applyAlignment="1">
      <alignment/>
    </xf>
    <xf numFmtId="0" fontId="55" fillId="12" borderId="0" xfId="0" applyFont="1" applyFill="1" applyBorder="1" applyAlignment="1">
      <alignment/>
    </xf>
    <xf numFmtId="14" fontId="55" fillId="12" borderId="0" xfId="0" applyNumberFormat="1" applyFont="1" applyFill="1" applyBorder="1" applyAlignment="1">
      <alignment/>
    </xf>
    <xf numFmtId="14" fontId="52" fillId="12" borderId="0" xfId="0" applyNumberFormat="1" applyFont="1" applyFill="1" applyAlignment="1">
      <alignment/>
    </xf>
    <xf numFmtId="172" fontId="52" fillId="12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56" fillId="12" borderId="0" xfId="0" applyFont="1" applyFill="1" applyAlignment="1">
      <alignment/>
    </xf>
    <xf numFmtId="14" fontId="54" fillId="12" borderId="0" xfId="0" applyNumberFormat="1" applyFont="1" applyFill="1" applyAlignment="1">
      <alignment/>
    </xf>
    <xf numFmtId="14" fontId="57" fillId="9" borderId="0" xfId="0" applyNumberFormat="1" applyFont="1" applyFill="1" applyAlignment="1">
      <alignment/>
    </xf>
    <xf numFmtId="0" fontId="57" fillId="9" borderId="0" xfId="0" applyFont="1" applyFill="1" applyAlignment="1">
      <alignment/>
    </xf>
    <xf numFmtId="172" fontId="57" fillId="9" borderId="0" xfId="0" applyNumberFormat="1" applyFont="1" applyFill="1" applyAlignment="1">
      <alignment/>
    </xf>
    <xf numFmtId="14" fontId="48" fillId="12" borderId="0" xfId="0" applyNumberFormat="1" applyFont="1" applyFill="1" applyAlignment="1">
      <alignment horizontal="right"/>
    </xf>
    <xf numFmtId="0" fontId="58" fillId="12" borderId="0" xfId="0" applyFont="1" applyFill="1" applyAlignment="1">
      <alignment/>
    </xf>
    <xf numFmtId="14" fontId="59" fillId="9" borderId="0" xfId="0" applyNumberFormat="1" applyFont="1" applyFill="1" applyAlignment="1">
      <alignment/>
    </xf>
    <xf numFmtId="14" fontId="48" fillId="12" borderId="0" xfId="0" applyNumberFormat="1" applyFont="1" applyFill="1" applyAlignment="1">
      <alignment horizontal="center"/>
    </xf>
    <xf numFmtId="172" fontId="0" fillId="12" borderId="0" xfId="0" applyNumberFormat="1" applyFill="1" applyAlignment="1">
      <alignment/>
    </xf>
    <xf numFmtId="0" fontId="0" fillId="0" borderId="0" xfId="0" applyFont="1" applyFill="1" applyAlignment="1">
      <alignment/>
    </xf>
    <xf numFmtId="177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28" fillId="0" borderId="5" xfId="0" applyFont="1" applyBorder="1" applyAlignment="1">
      <alignment/>
    </xf>
    <xf numFmtId="177" fontId="28" fillId="0" borderId="5" xfId="0" applyNumberFormat="1" applyFont="1" applyBorder="1" applyAlignment="1">
      <alignment/>
    </xf>
    <xf numFmtId="177" fontId="28" fillId="0" borderId="0" xfId="0" applyNumberFormat="1" applyFont="1" applyAlignment="1">
      <alignment/>
    </xf>
    <xf numFmtId="172" fontId="28" fillId="0" borderId="0" xfId="0" applyNumberFormat="1" applyFont="1" applyAlignment="1">
      <alignment/>
    </xf>
    <xf numFmtId="177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72" fontId="28" fillId="0" borderId="0" xfId="0" applyNumberFormat="1" applyFont="1" applyAlignment="1">
      <alignment horizontal="center"/>
    </xf>
    <xf numFmtId="177" fontId="63" fillId="0" borderId="0" xfId="0" applyNumberFormat="1" applyFont="1" applyAlignment="1">
      <alignment/>
    </xf>
    <xf numFmtId="172" fontId="63" fillId="0" borderId="0" xfId="0" applyNumberFormat="1" applyFont="1" applyAlignment="1">
      <alignment/>
    </xf>
    <xf numFmtId="172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77" fontId="62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1" fillId="13" borderId="2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13" borderId="31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10" borderId="32" xfId="0" applyFont="1" applyFill="1" applyBorder="1" applyAlignment="1">
      <alignment horizontal="center"/>
    </xf>
    <xf numFmtId="0" fontId="1" fillId="13" borderId="32" xfId="0" applyFont="1" applyFill="1" applyBorder="1" applyAlignment="1">
      <alignment/>
    </xf>
    <xf numFmtId="172" fontId="51" fillId="14" borderId="30" xfId="0" applyNumberFormat="1" applyFont="1" applyFill="1" applyBorder="1" applyAlignment="1">
      <alignment horizontal="right"/>
    </xf>
    <xf numFmtId="187" fontId="51" fillId="14" borderId="30" xfId="0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64" fillId="6" borderId="30" xfId="0" applyNumberFormat="1" applyFont="1" applyFill="1" applyBorder="1" applyAlignment="1">
      <alignment horizontal="right"/>
    </xf>
    <xf numFmtId="10" fontId="64" fillId="14" borderId="30" xfId="0" applyNumberFormat="1" applyFont="1" applyFill="1" applyBorder="1" applyAlignment="1">
      <alignment horizontal="right"/>
    </xf>
    <xf numFmtId="172" fontId="9" fillId="10" borderId="30" xfId="0" applyNumberFormat="1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172" fontId="9" fillId="10" borderId="4" xfId="0" applyNumberFormat="1" applyFont="1" applyFill="1" applyBorder="1" applyAlignment="1">
      <alignment horizontal="center"/>
    </xf>
    <xf numFmtId="10" fontId="64" fillId="6" borderId="33" xfId="0" applyNumberFormat="1" applyFont="1" applyFill="1" applyBorder="1" applyAlignment="1">
      <alignment horizontal="right"/>
    </xf>
    <xf numFmtId="187" fontId="51" fillId="14" borderId="34" xfId="0" applyNumberFormat="1" applyFont="1" applyFill="1" applyBorder="1" applyAlignment="1">
      <alignment horizontal="right"/>
    </xf>
    <xf numFmtId="187" fontId="10" fillId="10" borderId="34" xfId="0" applyNumberFormat="1" applyFont="1" applyFill="1" applyBorder="1" applyAlignment="1">
      <alignment horizontal="right"/>
    </xf>
    <xf numFmtId="10" fontId="64" fillId="14" borderId="33" xfId="0" applyNumberFormat="1" applyFont="1" applyFill="1" applyBorder="1" applyAlignment="1">
      <alignment horizontal="right"/>
    </xf>
    <xf numFmtId="172" fontId="51" fillId="14" borderId="33" xfId="0" applyNumberFormat="1" applyFont="1" applyFill="1" applyBorder="1" applyAlignment="1">
      <alignment horizontal="right"/>
    </xf>
    <xf numFmtId="174" fontId="40" fillId="2" borderId="0" xfId="0" applyNumberFormat="1" applyFont="1" applyFill="1" applyAlignment="1">
      <alignment/>
    </xf>
    <xf numFmtId="174" fontId="9" fillId="10" borderId="30" xfId="0" applyNumberFormat="1" applyFont="1" applyFill="1" applyBorder="1" applyAlignment="1">
      <alignment horizontal="center"/>
    </xf>
    <xf numFmtId="174" fontId="0" fillId="0" borderId="0" xfId="0" applyNumberFormat="1" applyFill="1" applyAlignment="1">
      <alignment/>
    </xf>
    <xf numFmtId="174" fontId="0" fillId="0" borderId="7" xfId="0" applyNumberFormat="1" applyFill="1" applyBorder="1" applyAlignment="1">
      <alignment/>
    </xf>
    <xf numFmtId="188" fontId="0" fillId="0" borderId="0" xfId="0" applyNumberFormat="1" applyAlignment="1">
      <alignment/>
    </xf>
    <xf numFmtId="188" fontId="0" fillId="9" borderId="0" xfId="0" applyNumberFormat="1" applyFill="1" applyAlignment="1">
      <alignment/>
    </xf>
    <xf numFmtId="188" fontId="0" fillId="15" borderId="0" xfId="0" applyNumberFormat="1" applyFill="1" applyAlignment="1">
      <alignment/>
    </xf>
    <xf numFmtId="188" fontId="1" fillId="9" borderId="0" xfId="0" applyNumberFormat="1" applyFont="1" applyFill="1" applyAlignment="1">
      <alignment/>
    </xf>
    <xf numFmtId="188" fontId="32" fillId="5" borderId="0" xfId="0" applyNumberFormat="1" applyFont="1" applyFill="1" applyAlignment="1">
      <alignment/>
    </xf>
    <xf numFmtId="188" fontId="21" fillId="0" borderId="0" xfId="0" applyNumberFormat="1" applyFont="1" applyFill="1" applyBorder="1" applyAlignment="1">
      <alignment horizontal="right"/>
    </xf>
    <xf numFmtId="188" fontId="28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0" fillId="14" borderId="30" xfId="0" applyNumberFormat="1" applyFill="1" applyBorder="1" applyAlignment="1">
      <alignment/>
    </xf>
    <xf numFmtId="188" fontId="0" fillId="14" borderId="1" xfId="0" applyNumberFormat="1" applyFill="1" applyBorder="1" applyAlignment="1">
      <alignment/>
    </xf>
    <xf numFmtId="188" fontId="1" fillId="2" borderId="32" xfId="0" applyNumberFormat="1" applyFont="1" applyFill="1" applyBorder="1" applyAlignment="1">
      <alignment/>
    </xf>
    <xf numFmtId="188" fontId="1" fillId="2" borderId="30" xfId="0" applyNumberFormat="1" applyFont="1" applyFill="1" applyBorder="1" applyAlignment="1">
      <alignment/>
    </xf>
    <xf numFmtId="188" fontId="0" fillId="14" borderId="34" xfId="0" applyNumberFormat="1" applyFont="1" applyFill="1" applyBorder="1" applyAlignment="1">
      <alignment/>
    </xf>
    <xf numFmtId="188" fontId="0" fillId="14" borderId="30" xfId="0" applyNumberFormat="1" applyFill="1" applyBorder="1" applyAlignment="1">
      <alignment/>
    </xf>
    <xf numFmtId="188" fontId="0" fillId="14" borderId="1" xfId="0" applyNumberFormat="1" applyFill="1" applyBorder="1" applyAlignment="1">
      <alignment/>
    </xf>
    <xf numFmtId="188" fontId="1" fillId="8" borderId="35" xfId="0" applyNumberFormat="1" applyFont="1" applyFill="1" applyBorder="1" applyAlignment="1">
      <alignment/>
    </xf>
    <xf numFmtId="188" fontId="14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8" fontId="6" fillId="0" borderId="0" xfId="18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188" fontId="1" fillId="8" borderId="35" xfId="0" applyNumberFormat="1" applyFont="1" applyFill="1" applyBorder="1" applyAlignment="1">
      <alignment horizontal="right"/>
    </xf>
    <xf numFmtId="188" fontId="20" fillId="3" borderId="34" xfId="0" applyNumberFormat="1" applyFont="1" applyFill="1" applyBorder="1" applyAlignment="1">
      <alignment horizontal="center"/>
    </xf>
    <xf numFmtId="188" fontId="6" fillId="0" borderId="23" xfId="0" applyNumberFormat="1" applyFont="1" applyBorder="1" applyAlignment="1">
      <alignment horizontal="right"/>
    </xf>
    <xf numFmtId="188" fontId="1" fillId="8" borderId="36" xfId="0" applyNumberFormat="1" applyFont="1" applyFill="1" applyBorder="1" applyAlignment="1">
      <alignment/>
    </xf>
    <xf numFmtId="188" fontId="14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88" fontId="0" fillId="0" borderId="17" xfId="0" applyNumberFormat="1" applyFont="1" applyBorder="1" applyAlignment="1">
      <alignment horizontal="right"/>
    </xf>
    <xf numFmtId="188" fontId="1" fillId="8" borderId="36" xfId="0" applyNumberFormat="1" applyFont="1" applyFill="1" applyBorder="1" applyAlignment="1">
      <alignment horizontal="right"/>
    </xf>
    <xf numFmtId="188" fontId="6" fillId="0" borderId="23" xfId="18" applyNumberFormat="1" applyFont="1" applyBorder="1" applyAlignment="1">
      <alignment horizontal="right"/>
    </xf>
    <xf numFmtId="188" fontId="20" fillId="3" borderId="37" xfId="0" applyNumberFormat="1" applyFont="1" applyFill="1" applyBorder="1" applyAlignment="1">
      <alignment horizontal="center"/>
    </xf>
    <xf numFmtId="188" fontId="20" fillId="3" borderId="38" xfId="0" applyNumberFormat="1" applyFont="1" applyFill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188" fontId="28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88" fontId="28" fillId="0" borderId="0" xfId="0" applyNumberFormat="1" applyFont="1" applyAlignment="1">
      <alignment horizontal="right"/>
    </xf>
    <xf numFmtId="188" fontId="61" fillId="0" borderId="0" xfId="0" applyNumberFormat="1" applyFont="1" applyAlignment="1">
      <alignment horizontal="right"/>
    </xf>
    <xf numFmtId="14" fontId="1" fillId="9" borderId="0" xfId="0" applyNumberFormat="1" applyFont="1" applyFill="1" applyAlignment="1">
      <alignment/>
    </xf>
    <xf numFmtId="172" fontId="6" fillId="9" borderId="0" xfId="0" applyNumberFormat="1" applyFont="1" applyFill="1" applyAlignment="1">
      <alignment/>
    </xf>
    <xf numFmtId="0" fontId="6" fillId="9" borderId="0" xfId="0" applyFont="1" applyFill="1" applyAlignment="1">
      <alignment/>
    </xf>
    <xf numFmtId="188" fontId="68" fillId="9" borderId="0" xfId="0" applyNumberFormat="1" applyFont="1" applyFill="1" applyAlignment="1">
      <alignment horizontal="left"/>
    </xf>
    <xf numFmtId="172" fontId="42" fillId="9" borderId="0" xfId="0" applyNumberFormat="1" applyFont="1" applyFill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9" borderId="0" xfId="0" applyFont="1" applyFill="1" applyAlignment="1">
      <alignment horizontal="center"/>
    </xf>
    <xf numFmtId="0" fontId="69" fillId="16" borderId="0" xfId="0" applyFont="1" applyFill="1" applyAlignment="1">
      <alignment/>
    </xf>
    <xf numFmtId="0" fontId="70" fillId="16" borderId="0" xfId="0" applyFont="1" applyFill="1" applyAlignment="1">
      <alignment/>
    </xf>
    <xf numFmtId="0" fontId="71" fillId="9" borderId="0" xfId="0" applyFont="1" applyFill="1" applyAlignment="1">
      <alignment horizontal="center"/>
    </xf>
    <xf numFmtId="192" fontId="42" fillId="9" borderId="39" xfId="19" applyNumberFormat="1" applyFont="1" applyFill="1" applyBorder="1" applyAlignment="1">
      <alignment/>
    </xf>
    <xf numFmtId="192" fontId="42" fillId="9" borderId="0" xfId="19" applyNumberFormat="1" applyFont="1" applyFill="1" applyBorder="1" applyAlignment="1">
      <alignment/>
    </xf>
    <xf numFmtId="0" fontId="0" fillId="16" borderId="0" xfId="0" applyFill="1" applyAlignment="1">
      <alignment/>
    </xf>
    <xf numFmtId="0" fontId="37" fillId="9" borderId="14" xfId="0" applyFont="1" applyFill="1" applyBorder="1" applyAlignment="1">
      <alignment/>
    </xf>
    <xf numFmtId="14" fontId="0" fillId="9" borderId="5" xfId="0" applyNumberFormat="1" applyFill="1" applyBorder="1" applyAlignment="1">
      <alignment/>
    </xf>
    <xf numFmtId="0" fontId="0" fillId="9" borderId="5" xfId="0" applyFill="1" applyBorder="1" applyAlignment="1">
      <alignment/>
    </xf>
    <xf numFmtId="170" fontId="11" fillId="9" borderId="5" xfId="19" applyFont="1" applyFill="1" applyBorder="1" applyAlignment="1">
      <alignment/>
    </xf>
    <xf numFmtId="170" fontId="42" fillId="9" borderId="5" xfId="19" applyFont="1" applyFill="1" applyBorder="1" applyAlignment="1">
      <alignment/>
    </xf>
    <xf numFmtId="0" fontId="0" fillId="16" borderId="0" xfId="0" applyFill="1" applyBorder="1" applyAlignment="1">
      <alignment/>
    </xf>
    <xf numFmtId="0" fontId="72" fillId="16" borderId="0" xfId="0" applyFont="1" applyFill="1" applyBorder="1" applyAlignment="1">
      <alignment/>
    </xf>
    <xf numFmtId="0" fontId="74" fillId="16" borderId="0" xfId="0" applyFont="1" applyFill="1" applyBorder="1" applyAlignment="1">
      <alignment/>
    </xf>
    <xf numFmtId="0" fontId="31" fillId="9" borderId="0" xfId="0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6" xfId="0" applyFill="1" applyBorder="1" applyAlignment="1">
      <alignment/>
    </xf>
    <xf numFmtId="0" fontId="1" fillId="14" borderId="30" xfId="0" applyFont="1" applyFill="1" applyBorder="1" applyAlignment="1">
      <alignment/>
    </xf>
    <xf numFmtId="192" fontId="1" fillId="6" borderId="0" xfId="0" applyNumberFormat="1" applyFont="1" applyFill="1" applyAlignment="1">
      <alignment/>
    </xf>
    <xf numFmtId="188" fontId="7" fillId="10" borderId="32" xfId="0" applyNumberFormat="1" applyFont="1" applyFill="1" applyBorder="1" applyAlignment="1">
      <alignment horizontal="right"/>
    </xf>
    <xf numFmtId="0" fontId="75" fillId="16" borderId="0" xfId="0" applyFont="1" applyFill="1" applyAlignment="1">
      <alignment/>
    </xf>
    <xf numFmtId="0" fontId="76" fillId="16" borderId="0" xfId="0" applyFont="1" applyFill="1" applyBorder="1" applyAlignment="1">
      <alignment/>
    </xf>
    <xf numFmtId="192" fontId="76" fillId="16" borderId="0" xfId="0" applyNumberFormat="1" applyFont="1" applyFill="1" applyBorder="1" applyAlignment="1">
      <alignment horizontal="right"/>
    </xf>
    <xf numFmtId="192" fontId="76" fillId="16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92" fontId="11" fillId="0" borderId="30" xfId="19" applyNumberFormat="1" applyFont="1" applyBorder="1" applyAlignment="1">
      <alignment horizontal="right"/>
    </xf>
    <xf numFmtId="0" fontId="8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166" fontId="6" fillId="9" borderId="0" xfId="19" applyNumberFormat="1" applyFont="1" applyFill="1" applyAlignment="1">
      <alignment horizontal="right"/>
    </xf>
    <xf numFmtId="0" fontId="1" fillId="9" borderId="0" xfId="0" applyFont="1" applyFill="1" applyAlignment="1">
      <alignment horizontal="center"/>
    </xf>
    <xf numFmtId="0" fontId="74" fillId="9" borderId="30" xfId="0" applyFont="1" applyFill="1" applyBorder="1" applyAlignment="1">
      <alignment horizontal="center"/>
    </xf>
    <xf numFmtId="192" fontId="74" fillId="9" borderId="30" xfId="19" applyNumberFormat="1" applyFont="1" applyFill="1" applyBorder="1" applyAlignment="1">
      <alignment horizontal="right"/>
    </xf>
    <xf numFmtId="0" fontId="80" fillId="9" borderId="1" xfId="0" applyFont="1" applyFill="1" applyBorder="1" applyAlignment="1">
      <alignment horizontal="center"/>
    </xf>
    <xf numFmtId="0" fontId="80" fillId="9" borderId="34" xfId="0" applyFont="1" applyFill="1" applyBorder="1" applyAlignment="1">
      <alignment horizontal="center"/>
    </xf>
    <xf numFmtId="0" fontId="82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79" fillId="6" borderId="0" xfId="0" applyFont="1" applyFill="1" applyAlignment="1">
      <alignment/>
    </xf>
    <xf numFmtId="0" fontId="81" fillId="6" borderId="2" xfId="0" applyFont="1" applyFill="1" applyBorder="1" applyAlignment="1">
      <alignment horizontal="left"/>
    </xf>
    <xf numFmtId="0" fontId="78" fillId="6" borderId="3" xfId="0" applyFont="1" applyFill="1" applyBorder="1" applyAlignment="1">
      <alignment horizontal="center"/>
    </xf>
    <xf numFmtId="0" fontId="80" fillId="5" borderId="1" xfId="0" applyFont="1" applyFill="1" applyBorder="1" applyAlignment="1">
      <alignment horizontal="center"/>
    </xf>
    <xf numFmtId="0" fontId="80" fillId="5" borderId="34" xfId="0" applyFont="1" applyFill="1" applyBorder="1" applyAlignment="1">
      <alignment horizontal="center"/>
    </xf>
    <xf numFmtId="192" fontId="72" fillId="17" borderId="30" xfId="19" applyNumberFormat="1" applyFont="1" applyFill="1" applyBorder="1" applyAlignment="1">
      <alignment horizontal="right"/>
    </xf>
    <xf numFmtId="0" fontId="51" fillId="9" borderId="34" xfId="0" applyFont="1" applyFill="1" applyBorder="1" applyAlignment="1">
      <alignment horizontal="center"/>
    </xf>
    <xf numFmtId="0" fontId="64" fillId="9" borderId="30" xfId="0" applyFont="1" applyFill="1" applyBorder="1" applyAlignment="1">
      <alignment horizontal="center"/>
    </xf>
    <xf numFmtId="0" fontId="51" fillId="9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7" fillId="9" borderId="0" xfId="0" applyFont="1" applyFill="1" applyAlignment="1">
      <alignment/>
    </xf>
    <xf numFmtId="0" fontId="72" fillId="16" borderId="7" xfId="0" applyFont="1" applyFill="1" applyBorder="1" applyAlignment="1">
      <alignment horizontal="center"/>
    </xf>
    <xf numFmtId="0" fontId="74" fillId="9" borderId="30" xfId="0" applyFont="1" applyFill="1" applyBorder="1" applyAlignment="1">
      <alignment horizontal="left"/>
    </xf>
    <xf numFmtId="0" fontId="81" fillId="5" borderId="2" xfId="0" applyFont="1" applyFill="1" applyBorder="1" applyAlignment="1">
      <alignment horizontal="left"/>
    </xf>
    <xf numFmtId="0" fontId="78" fillId="5" borderId="3" xfId="0" applyFont="1" applyFill="1" applyBorder="1" applyAlignment="1">
      <alignment horizontal="center"/>
    </xf>
    <xf numFmtId="192" fontId="80" fillId="5" borderId="30" xfId="19" applyNumberFormat="1" applyFont="1" applyFill="1" applyBorder="1" applyAlignment="1">
      <alignment horizontal="right"/>
    </xf>
    <xf numFmtId="0" fontId="85" fillId="6" borderId="0" xfId="0" applyFont="1" applyFill="1" applyAlignment="1">
      <alignment/>
    </xf>
    <xf numFmtId="172" fontId="86" fillId="12" borderId="0" xfId="0" applyNumberFormat="1" applyFont="1" applyFill="1" applyAlignment="1">
      <alignment horizontal="center"/>
    </xf>
    <xf numFmtId="172" fontId="86" fillId="12" borderId="0" xfId="0" applyNumberFormat="1" applyFont="1" applyFill="1" applyAlignment="1">
      <alignment horizontal="center"/>
    </xf>
    <xf numFmtId="192" fontId="87" fillId="9" borderId="0" xfId="19" applyNumberFormat="1" applyFont="1" applyFill="1" applyAlignment="1">
      <alignment horizontal="left"/>
    </xf>
    <xf numFmtId="192" fontId="1" fillId="0" borderId="0" xfId="19" applyNumberFormat="1" applyFont="1" applyAlignment="1">
      <alignment/>
    </xf>
    <xf numFmtId="192" fontId="0" fillId="0" borderId="0" xfId="19" applyNumberFormat="1" applyFont="1" applyAlignment="1">
      <alignment/>
    </xf>
    <xf numFmtId="0" fontId="88" fillId="0" borderId="0" xfId="0" applyFont="1" applyAlignment="1">
      <alignment/>
    </xf>
    <xf numFmtId="0" fontId="89" fillId="9" borderId="0" xfId="0" applyFont="1" applyFill="1" applyAlignment="1">
      <alignment horizontal="left"/>
    </xf>
    <xf numFmtId="192" fontId="1" fillId="0" borderId="0" xfId="0" applyNumberFormat="1" applyFont="1" applyAlignment="1">
      <alignment/>
    </xf>
    <xf numFmtId="192" fontId="0" fillId="0" borderId="0" xfId="0" applyNumberFormat="1" applyAlignment="1">
      <alignment/>
    </xf>
    <xf numFmtId="177" fontId="91" fillId="0" borderId="0" xfId="0" applyNumberFormat="1" applyFont="1" applyAlignment="1">
      <alignment horizontal="center"/>
    </xf>
    <xf numFmtId="172" fontId="91" fillId="0" borderId="0" xfId="0" applyNumberFormat="1" applyFont="1" applyAlignment="1">
      <alignment horizontal="center"/>
    </xf>
    <xf numFmtId="0" fontId="91" fillId="0" borderId="0" xfId="0" applyFont="1" applyAlignment="1">
      <alignment/>
    </xf>
    <xf numFmtId="172" fontId="91" fillId="0" borderId="0" xfId="0" applyNumberFormat="1" applyFont="1" applyAlignment="1">
      <alignment horizontal="center"/>
    </xf>
    <xf numFmtId="0" fontId="91" fillId="0" borderId="0" xfId="0" applyFont="1" applyAlignment="1">
      <alignment horizontal="center"/>
    </xf>
    <xf numFmtId="0" fontId="16" fillId="2" borderId="30" xfId="0" applyFont="1" applyFill="1" applyBorder="1" applyAlignment="1">
      <alignment/>
    </xf>
    <xf numFmtId="0" fontId="2" fillId="11" borderId="0" xfId="0" applyFont="1" applyFill="1" applyAlignment="1">
      <alignment/>
    </xf>
    <xf numFmtId="0" fontId="88" fillId="11" borderId="0" xfId="0" applyFont="1" applyFill="1" applyAlignment="1">
      <alignment horizontal="right"/>
    </xf>
    <xf numFmtId="0" fontId="19" fillId="9" borderId="0" xfId="0" applyFont="1" applyFill="1" applyAlignment="1">
      <alignment/>
    </xf>
    <xf numFmtId="0" fontId="19" fillId="9" borderId="34" xfId="0" applyFont="1" applyFill="1" applyBorder="1" applyAlignment="1">
      <alignment/>
    </xf>
    <xf numFmtId="0" fontId="16" fillId="11" borderId="30" xfId="0" applyFont="1" applyFill="1" applyBorder="1" applyAlignment="1">
      <alignment horizontal="right"/>
    </xf>
    <xf numFmtId="0" fontId="1" fillId="9" borderId="0" xfId="0" applyFont="1" applyFill="1" applyAlignment="1">
      <alignment/>
    </xf>
    <xf numFmtId="0" fontId="92" fillId="9" borderId="30" xfId="0" applyFont="1" applyFill="1" applyBorder="1" applyAlignment="1">
      <alignment/>
    </xf>
    <xf numFmtId="0" fontId="93" fillId="9" borderId="30" xfId="0" applyFont="1" applyFill="1" applyBorder="1" applyAlignment="1">
      <alignment horizontal="center"/>
    </xf>
    <xf numFmtId="192" fontId="94" fillId="9" borderId="1" xfId="19" applyNumberFormat="1" applyFont="1" applyFill="1" applyBorder="1" applyAlignment="1">
      <alignment/>
    </xf>
    <xf numFmtId="192" fontId="95" fillId="11" borderId="39" xfId="19" applyNumberFormat="1" applyFont="1" applyFill="1" applyBorder="1" applyAlignment="1">
      <alignment/>
    </xf>
    <xf numFmtId="188" fontId="0" fillId="13" borderId="0" xfId="0" applyNumberFormat="1" applyFill="1" applyAlignment="1">
      <alignment/>
    </xf>
    <xf numFmtId="177" fontId="28" fillId="0" borderId="30" xfId="0" applyNumberFormat="1" applyFont="1" applyBorder="1" applyAlignment="1">
      <alignment horizontal="right"/>
    </xf>
    <xf numFmtId="188" fontId="28" fillId="0" borderId="30" xfId="0" applyNumberFormat="1" applyFont="1" applyBorder="1" applyAlignment="1">
      <alignment horizontal="right"/>
    </xf>
    <xf numFmtId="188" fontId="7" fillId="0" borderId="30" xfId="0" applyNumberFormat="1" applyFont="1" applyBorder="1" applyAlignment="1">
      <alignment horizontal="right"/>
    </xf>
    <xf numFmtId="14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72" fontId="59" fillId="0" borderId="0" xfId="0" applyNumberFormat="1" applyFont="1" applyAlignment="1">
      <alignment horizontal="center"/>
    </xf>
    <xf numFmtId="14" fontId="57" fillId="0" borderId="0" xfId="0" applyNumberFormat="1" applyFont="1" applyAlignment="1">
      <alignment/>
    </xf>
    <xf numFmtId="1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 horizontal="center"/>
    </xf>
    <xf numFmtId="14" fontId="59" fillId="0" borderId="0" xfId="0" applyNumberFormat="1" applyFont="1" applyAlignment="1">
      <alignment horizontal="center"/>
    </xf>
    <xf numFmtId="172" fontId="97" fillId="3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188" fontId="59" fillId="0" borderId="0" xfId="0" applyNumberFormat="1" applyFont="1" applyAlignment="1">
      <alignment horizontal="right"/>
    </xf>
    <xf numFmtId="188" fontId="59" fillId="8" borderId="35" xfId="0" applyNumberFormat="1" applyFont="1" applyFill="1" applyBorder="1" applyAlignment="1">
      <alignment horizontal="right"/>
    </xf>
    <xf numFmtId="0" fontId="59" fillId="0" borderId="0" xfId="0" applyFont="1" applyAlignment="1">
      <alignment/>
    </xf>
    <xf numFmtId="188" fontId="59" fillId="8" borderId="35" xfId="0" applyNumberFormat="1" applyFont="1" applyFill="1" applyBorder="1" applyAlignment="1">
      <alignment/>
    </xf>
    <xf numFmtId="0" fontId="59" fillId="3" borderId="0" xfId="0" applyFont="1" applyFill="1" applyBorder="1" applyAlignment="1">
      <alignment/>
    </xf>
    <xf numFmtId="172" fontId="59" fillId="0" borderId="11" xfId="0" applyNumberFormat="1" applyFont="1" applyBorder="1" applyAlignment="1">
      <alignment/>
    </xf>
    <xf numFmtId="14" fontId="98" fillId="0" borderId="0" xfId="0" applyNumberFormat="1" applyFont="1" applyAlignment="1">
      <alignment horizontal="center"/>
    </xf>
    <xf numFmtId="188" fontId="57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2" borderId="30" xfId="0" applyFont="1" applyFill="1" applyBorder="1" applyAlignment="1">
      <alignment horizontal="center"/>
    </xf>
    <xf numFmtId="192" fontId="11" fillId="2" borderId="30" xfId="19" applyNumberFormat="1" applyFont="1" applyFill="1" applyBorder="1" applyAlignment="1">
      <alignment horizontal="center"/>
    </xf>
    <xf numFmtId="0" fontId="42" fillId="2" borderId="30" xfId="0" applyFont="1" applyFill="1" applyBorder="1" applyAlignment="1">
      <alignment/>
    </xf>
    <xf numFmtId="0" fontId="99" fillId="0" borderId="0" xfId="0" applyFont="1" applyAlignment="1">
      <alignment/>
    </xf>
    <xf numFmtId="192" fontId="99" fillId="0" borderId="0" xfId="19" applyNumberFormat="1" applyFont="1" applyAlignment="1">
      <alignment/>
    </xf>
    <xf numFmtId="192" fontId="100" fillId="4" borderId="30" xfId="19" applyNumberFormat="1" applyFont="1" applyFill="1" applyBorder="1" applyAlignment="1">
      <alignment horizontal="center"/>
    </xf>
    <xf numFmtId="0" fontId="99" fillId="4" borderId="30" xfId="0" applyFont="1" applyFill="1" applyBorder="1" applyAlignment="1">
      <alignment/>
    </xf>
    <xf numFmtId="192" fontId="99" fillId="4" borderId="30" xfId="19" applyNumberFormat="1" applyFont="1" applyFill="1" applyBorder="1" applyAlignment="1">
      <alignment/>
    </xf>
    <xf numFmtId="192" fontId="100" fillId="4" borderId="30" xfId="19" applyNumberFormat="1" applyFont="1" applyFill="1" applyBorder="1" applyAlignment="1">
      <alignment/>
    </xf>
    <xf numFmtId="0" fontId="100" fillId="4" borderId="30" xfId="0" applyFont="1" applyFill="1" applyBorder="1" applyAlignment="1">
      <alignment/>
    </xf>
    <xf numFmtId="192" fontId="99" fillId="0" borderId="0" xfId="19" applyNumberFormat="1" applyFont="1" applyFill="1" applyAlignment="1">
      <alignment/>
    </xf>
    <xf numFmtId="192" fontId="100" fillId="4" borderId="30" xfId="19" applyNumberFormat="1" applyFont="1" applyFill="1" applyBorder="1" applyAlignment="1">
      <alignment/>
    </xf>
    <xf numFmtId="192" fontId="1" fillId="0" borderId="3" xfId="19" applyNumberFormat="1" applyFont="1" applyBorder="1" applyAlignment="1">
      <alignment/>
    </xf>
    <xf numFmtId="0" fontId="100" fillId="8" borderId="0" xfId="0" applyFont="1" applyFill="1" applyBorder="1" applyAlignment="1">
      <alignment horizontal="center"/>
    </xf>
    <xf numFmtId="192" fontId="0" fillId="8" borderId="34" xfId="19" applyNumberFormat="1" applyFont="1" applyFill="1" applyBorder="1" applyAlignment="1">
      <alignment horizontal="center"/>
    </xf>
    <xf numFmtId="0" fontId="0" fillId="8" borderId="30" xfId="0" applyFill="1" applyBorder="1" applyAlignment="1">
      <alignment/>
    </xf>
    <xf numFmtId="0" fontId="1" fillId="5" borderId="1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30" xfId="0" applyFill="1" applyBorder="1" applyAlignment="1">
      <alignment/>
    </xf>
    <xf numFmtId="192" fontId="0" fillId="5" borderId="30" xfId="19" applyNumberFormat="1" applyFont="1" applyFill="1" applyBorder="1" applyAlignment="1">
      <alignment/>
    </xf>
    <xf numFmtId="192" fontId="0" fillId="7" borderId="1" xfId="19" applyNumberFormat="1" applyFont="1" applyFill="1" applyBorder="1" applyAlignment="1">
      <alignment horizontal="center"/>
    </xf>
    <xf numFmtId="192" fontId="0" fillId="7" borderId="34" xfId="19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39" xfId="0" applyFill="1" applyBorder="1" applyAlignment="1">
      <alignment/>
    </xf>
    <xf numFmtId="0" fontId="0" fillId="7" borderId="34" xfId="0" applyFill="1" applyBorder="1" applyAlignment="1">
      <alignment/>
    </xf>
    <xf numFmtId="192" fontId="1" fillId="11" borderId="30" xfId="19" applyNumberFormat="1" applyFont="1" applyFill="1" applyBorder="1" applyAlignment="1">
      <alignment/>
    </xf>
    <xf numFmtId="0" fontId="1" fillId="7" borderId="30" xfId="0" applyFont="1" applyFill="1" applyBorder="1" applyAlignment="1">
      <alignment/>
    </xf>
    <xf numFmtId="192" fontId="1" fillId="7" borderId="30" xfId="19" applyNumberFormat="1" applyFont="1" applyFill="1" applyBorder="1" applyAlignment="1">
      <alignment horizontal="center"/>
    </xf>
    <xf numFmtId="0" fontId="1" fillId="10" borderId="30" xfId="0" applyFont="1" applyFill="1" applyBorder="1" applyAlignment="1">
      <alignment/>
    </xf>
    <xf numFmtId="192" fontId="0" fillId="10" borderId="30" xfId="19" applyNumberFormat="1" applyFont="1" applyFill="1" applyBorder="1" applyAlignment="1">
      <alignment/>
    </xf>
    <xf numFmtId="192" fontId="1" fillId="10" borderId="30" xfId="19" applyNumberFormat="1" applyFont="1" applyFill="1" applyBorder="1" applyAlignment="1">
      <alignment/>
    </xf>
    <xf numFmtId="0" fontId="1" fillId="7" borderId="30" xfId="0" applyFont="1" applyFill="1" applyBorder="1" applyAlignment="1">
      <alignment/>
    </xf>
    <xf numFmtId="192" fontId="0" fillId="5" borderId="16" xfId="19" applyNumberFormat="1" applyFont="1" applyFill="1" applyBorder="1" applyAlignment="1">
      <alignment horizontal="center"/>
    </xf>
    <xf numFmtId="192" fontId="0" fillId="7" borderId="34" xfId="19" applyNumberFormat="1" applyFont="1" applyFill="1" applyBorder="1" applyAlignment="1" quotePrefix="1">
      <alignment horizontal="center"/>
    </xf>
    <xf numFmtId="192" fontId="1" fillId="4" borderId="30" xfId="19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92" fontId="0" fillId="0" borderId="0" xfId="19" applyNumberFormat="1" applyFont="1" applyFill="1" applyAlignment="1">
      <alignment/>
    </xf>
    <xf numFmtId="0" fontId="101" fillId="18" borderId="0" xfId="0" applyFont="1" applyFill="1" applyAlignment="1">
      <alignment/>
    </xf>
    <xf numFmtId="192" fontId="101" fillId="18" borderId="0" xfId="19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 horizontal="center"/>
      <protection locked="0"/>
    </xf>
    <xf numFmtId="188" fontId="0" fillId="0" borderId="0" xfId="0" applyNumberFormat="1" applyAlignment="1" applyProtection="1">
      <alignment/>
      <protection locked="0"/>
    </xf>
    <xf numFmtId="14" fontId="34" fillId="8" borderId="0" xfId="0" applyNumberFormat="1" applyFont="1" applyFill="1" applyAlignment="1" applyProtection="1">
      <alignment/>
      <protection locked="0"/>
    </xf>
    <xf numFmtId="188" fontId="30" fillId="4" borderId="30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174" fontId="0" fillId="0" borderId="0" xfId="0" applyNumberFormat="1" applyAlignment="1" applyProtection="1">
      <alignment/>
      <protection locked="0"/>
    </xf>
    <xf numFmtId="0" fontId="6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5" fillId="11" borderId="0" xfId="0" applyFont="1" applyFill="1" applyAlignment="1" applyProtection="1">
      <alignment horizontal="center"/>
      <protection/>
    </xf>
    <xf numFmtId="0" fontId="16" fillId="11" borderId="0" xfId="0" applyFont="1" applyFill="1" applyAlignment="1" applyProtection="1">
      <alignment/>
      <protection/>
    </xf>
    <xf numFmtId="188" fontId="90" fillId="17" borderId="0" xfId="0" applyNumberFormat="1" applyFont="1" applyFill="1" applyAlignment="1" applyProtection="1">
      <alignment horizontal="center"/>
      <protection/>
    </xf>
    <xf numFmtId="0" fontId="3" fillId="9" borderId="0" xfId="0" applyFont="1" applyFill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8" fontId="1" fillId="0" borderId="0" xfId="20" applyNumberFormat="1" applyFont="1" applyAlignment="1" applyProtection="1">
      <alignment/>
      <protection/>
    </xf>
    <xf numFmtId="188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9" borderId="0" xfId="0" applyFill="1" applyAlignment="1" applyProtection="1">
      <alignment/>
      <protection/>
    </xf>
    <xf numFmtId="188" fontId="0" fillId="9" borderId="0" xfId="0" applyNumberFormat="1" applyFill="1" applyAlignment="1" applyProtection="1">
      <alignment/>
      <protection/>
    </xf>
    <xf numFmtId="0" fontId="29" fillId="9" borderId="0" xfId="0" applyFont="1" applyFill="1" applyAlignment="1" applyProtection="1">
      <alignment horizontal="center"/>
      <protection/>
    </xf>
    <xf numFmtId="0" fontId="38" fillId="4" borderId="0" xfId="0" applyFont="1" applyFill="1" applyAlignment="1" applyProtection="1">
      <alignment horizontal="center"/>
      <protection/>
    </xf>
    <xf numFmtId="0" fontId="0" fillId="11" borderId="0" xfId="0" applyFill="1" applyAlignment="1" applyProtection="1">
      <alignment/>
      <protection/>
    </xf>
    <xf numFmtId="174" fontId="0" fillId="11" borderId="0" xfId="0" applyNumberFormat="1" applyFill="1" applyAlignment="1" applyProtection="1">
      <alignment/>
      <protection/>
    </xf>
    <xf numFmtId="0" fontId="1" fillId="8" borderId="0" xfId="0" applyFont="1" applyFill="1" applyAlignment="1" applyProtection="1">
      <alignment/>
      <protection/>
    </xf>
    <xf numFmtId="174" fontId="0" fillId="8" borderId="0" xfId="0" applyNumberFormat="1" applyFill="1" applyAlignment="1" applyProtection="1">
      <alignment/>
      <protection/>
    </xf>
    <xf numFmtId="49" fontId="11" fillId="4" borderId="30" xfId="0" applyNumberFormat="1" applyFont="1" applyFill="1" applyBorder="1" applyAlignment="1" applyProtection="1">
      <alignment/>
      <protection/>
    </xf>
    <xf numFmtId="49" fontId="30" fillId="4" borderId="30" xfId="0" applyNumberFormat="1" applyFont="1" applyFill="1" applyBorder="1" applyAlignment="1" applyProtection="1">
      <alignment/>
      <protection/>
    </xf>
    <xf numFmtId="49" fontId="43" fillId="12" borderId="30" xfId="0" applyNumberFormat="1" applyFont="1" applyFill="1" applyBorder="1" applyAlignment="1" applyProtection="1">
      <alignment/>
      <protection/>
    </xf>
    <xf numFmtId="0" fontId="42" fillId="2" borderId="30" xfId="0" applyNumberFormat="1" applyFont="1" applyFill="1" applyBorder="1" applyAlignment="1" applyProtection="1">
      <alignment/>
      <protection/>
    </xf>
    <xf numFmtId="49" fontId="0" fillId="19" borderId="30" xfId="0" applyNumberFormat="1" applyFill="1" applyBorder="1" applyAlignment="1" applyProtection="1">
      <alignment/>
      <protection/>
    </xf>
    <xf numFmtId="0" fontId="49" fillId="9" borderId="0" xfId="0" applyFont="1" applyFill="1" applyAlignment="1" applyProtection="1">
      <alignment horizontal="center"/>
      <protection/>
    </xf>
    <xf numFmtId="49" fontId="0" fillId="9" borderId="0" xfId="0" applyNumberFormat="1" applyFill="1" applyBorder="1" applyAlignment="1" applyProtection="1">
      <alignment/>
      <protection/>
    </xf>
    <xf numFmtId="188" fontId="30" fillId="4" borderId="30" xfId="0" applyNumberFormat="1" applyFont="1" applyFill="1" applyBorder="1" applyAlignment="1" applyProtection="1">
      <alignment horizontal="right"/>
      <protection/>
    </xf>
    <xf numFmtId="188" fontId="44" fillId="12" borderId="30" xfId="0" applyNumberFormat="1" applyFont="1" applyFill="1" applyBorder="1" applyAlignment="1" applyProtection="1">
      <alignment horizontal="right"/>
      <protection/>
    </xf>
    <xf numFmtId="188" fontId="31" fillId="2" borderId="30" xfId="0" applyNumberFormat="1" applyFont="1" applyFill="1" applyBorder="1" applyAlignment="1" applyProtection="1">
      <alignment horizontal="right"/>
      <protection/>
    </xf>
    <xf numFmtId="188" fontId="30" fillId="19" borderId="30" xfId="0" applyNumberFormat="1" applyFont="1" applyFill="1" applyBorder="1" applyAlignment="1" applyProtection="1">
      <alignment horizontal="right"/>
      <protection/>
    </xf>
    <xf numFmtId="188" fontId="30" fillId="9" borderId="0" xfId="0" applyNumberFormat="1" applyFont="1" applyFill="1" applyBorder="1" applyAlignment="1" applyProtection="1">
      <alignment horizontal="right"/>
      <protection/>
    </xf>
    <xf numFmtId="174" fontId="0" fillId="9" borderId="0" xfId="0" applyNumberFormat="1" applyFill="1" applyAlignment="1" applyProtection="1">
      <alignment/>
      <protection/>
    </xf>
    <xf numFmtId="174" fontId="50" fillId="11" borderId="0" xfId="0" applyNumberFormat="1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 locked="0"/>
    </xf>
    <xf numFmtId="188" fontId="33" fillId="8" borderId="0" xfId="0" applyNumberFormat="1" applyFont="1" applyFill="1" applyAlignment="1" applyProtection="1">
      <alignment/>
      <protection locked="0"/>
    </xf>
    <xf numFmtId="0" fontId="77" fillId="9" borderId="30" xfId="0" applyFont="1" applyFill="1" applyBorder="1" applyAlignment="1" applyProtection="1">
      <alignment horizontal="center"/>
      <protection locked="0"/>
    </xf>
    <xf numFmtId="14" fontId="0" fillId="0" borderId="30" xfId="0" applyNumberFormat="1" applyFont="1" applyFill="1" applyBorder="1" applyAlignment="1" applyProtection="1">
      <alignment horizontal="center"/>
      <protection locked="0"/>
    </xf>
    <xf numFmtId="14" fontId="96" fillId="5" borderId="30" xfId="0" applyNumberFormat="1" applyFont="1" applyFill="1" applyBorder="1" applyAlignment="1" applyProtection="1">
      <alignment horizontal="center"/>
      <protection locked="0"/>
    </xf>
    <xf numFmtId="14" fontId="96" fillId="4" borderId="30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192" fontId="96" fillId="5" borderId="30" xfId="19" applyNumberFormat="1" applyFont="1" applyFill="1" applyBorder="1" applyAlignment="1" applyProtection="1">
      <alignment horizontal="right"/>
      <protection locked="0"/>
    </xf>
    <xf numFmtId="192" fontId="96" fillId="4" borderId="30" xfId="19" applyNumberFormat="1" applyFont="1" applyFill="1" applyBorder="1" applyAlignment="1" applyProtection="1">
      <alignment horizontal="right"/>
      <protection locked="0"/>
    </xf>
    <xf numFmtId="10" fontId="0" fillId="0" borderId="30" xfId="0" applyNumberFormat="1" applyBorder="1" applyAlignment="1" applyProtection="1">
      <alignment horizontal="center"/>
      <protection locked="0"/>
    </xf>
    <xf numFmtId="0" fontId="96" fillId="5" borderId="30" xfId="0" applyNumberFormat="1" applyFont="1" applyFill="1" applyBorder="1" applyAlignment="1" applyProtection="1">
      <alignment horizontal="center"/>
      <protection locked="0"/>
    </xf>
    <xf numFmtId="192" fontId="73" fillId="16" borderId="30" xfId="0" applyNumberFormat="1" applyFont="1" applyFill="1" applyBorder="1" applyAlignment="1" applyProtection="1">
      <alignment/>
      <protection locked="0"/>
    </xf>
    <xf numFmtId="14" fontId="34" fillId="0" borderId="0" xfId="0" applyNumberFormat="1" applyFont="1" applyAlignment="1" applyProtection="1">
      <alignment/>
      <protection locked="0"/>
    </xf>
    <xf numFmtId="188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57" fillId="0" borderId="0" xfId="0" applyNumberFormat="1" applyFont="1" applyAlignment="1" applyProtection="1">
      <alignment/>
      <protection locked="0"/>
    </xf>
    <xf numFmtId="49" fontId="57" fillId="0" borderId="0" xfId="0" applyNumberFormat="1" applyFont="1" applyAlignment="1" applyProtection="1">
      <alignment/>
      <protection locked="0"/>
    </xf>
    <xf numFmtId="188" fontId="57" fillId="0" borderId="0" xfId="0" applyNumberFormat="1" applyFont="1" applyAlignment="1" applyProtection="1">
      <alignment/>
      <protection locked="0"/>
    </xf>
    <xf numFmtId="17" fontId="0" fillId="0" borderId="0" xfId="0" applyNumberFormat="1" applyAlignment="1" applyProtection="1">
      <alignment/>
      <protection locked="0"/>
    </xf>
    <xf numFmtId="14" fontId="19" fillId="2" borderId="30" xfId="0" applyNumberFormat="1" applyFont="1" applyFill="1" applyBorder="1" applyAlignment="1" applyProtection="1">
      <alignment/>
      <protection locked="0"/>
    </xf>
    <xf numFmtId="0" fontId="19" fillId="2" borderId="30" xfId="0" applyFont="1" applyFill="1" applyBorder="1" applyAlignment="1" applyProtection="1">
      <alignment/>
      <protection locked="0"/>
    </xf>
    <xf numFmtId="192" fontId="68" fillId="11" borderId="30" xfId="19" applyNumberFormat="1" applyFont="1" applyFill="1" applyBorder="1" applyAlignment="1" applyProtection="1">
      <alignment/>
      <protection locked="0"/>
    </xf>
    <xf numFmtId="177" fontId="28" fillId="0" borderId="30" xfId="0" applyNumberFormat="1" applyFont="1" applyBorder="1" applyAlignment="1" applyProtection="1">
      <alignment horizontal="right"/>
      <protection locked="0"/>
    </xf>
    <xf numFmtId="188" fontId="61" fillId="0" borderId="0" xfId="0" applyNumberFormat="1" applyFont="1" applyAlignment="1" applyProtection="1">
      <alignment horizontal="right"/>
      <protection locked="0"/>
    </xf>
    <xf numFmtId="177" fontId="61" fillId="0" borderId="0" xfId="0" applyNumberFormat="1" applyFont="1" applyAlignment="1" applyProtection="1">
      <alignment horizontal="right"/>
      <protection locked="0"/>
    </xf>
    <xf numFmtId="0" fontId="62" fillId="0" borderId="0" xfId="0" applyFont="1" applyAlignment="1" applyProtection="1">
      <alignment/>
      <protection locked="0"/>
    </xf>
    <xf numFmtId="192" fontId="42" fillId="2" borderId="30" xfId="19" applyNumberFormat="1" applyFont="1" applyFill="1" applyBorder="1" applyAlignment="1" applyProtection="1">
      <alignment/>
      <protection locked="0"/>
    </xf>
    <xf numFmtId="192" fontId="1" fillId="10" borderId="30" xfId="19" applyNumberFormat="1" applyFont="1" applyFill="1" applyBorder="1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19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30" xfId="0" applyBorder="1" applyAlignment="1">
      <alignment horizontal="center"/>
    </xf>
    <xf numFmtId="49" fontId="0" fillId="0" borderId="30" xfId="0" applyNumberFormat="1" applyBorder="1" applyAlignment="1">
      <alignment horizontal="left"/>
    </xf>
    <xf numFmtId="192" fontId="0" fillId="0" borderId="30" xfId="0" applyNumberFormat="1" applyBorder="1" applyAlignment="1">
      <alignment horizontal="right"/>
    </xf>
    <xf numFmtId="188" fontId="0" fillId="0" borderId="30" xfId="0" applyNumberFormat="1" applyBorder="1" applyAlignment="1" applyProtection="1">
      <alignment/>
      <protection locked="0"/>
    </xf>
    <xf numFmtId="0" fontId="0" fillId="0" borderId="34" xfId="0" applyBorder="1" applyAlignment="1">
      <alignment horizontal="center"/>
    </xf>
    <xf numFmtId="192" fontId="104" fillId="6" borderId="0" xfId="0" applyNumberFormat="1" applyFont="1" applyFill="1" applyBorder="1" applyAlignment="1">
      <alignment horizontal="right"/>
    </xf>
    <xf numFmtId="0" fontId="103" fillId="9" borderId="7" xfId="0" applyFont="1" applyFill="1" applyBorder="1" applyAlignment="1">
      <alignment horizontal="center"/>
    </xf>
    <xf numFmtId="0" fontId="102" fillId="11" borderId="7" xfId="0" applyFont="1" applyFill="1" applyBorder="1" applyAlignment="1">
      <alignment horizontal="center"/>
    </xf>
    <xf numFmtId="49" fontId="103" fillId="11" borderId="7" xfId="0" applyNumberFormat="1" applyFont="1" applyFill="1" applyBorder="1" applyAlignment="1">
      <alignment horizontal="center"/>
    </xf>
    <xf numFmtId="192" fontId="103" fillId="11" borderId="7" xfId="0" applyNumberFormat="1" applyFont="1" applyFill="1" applyBorder="1" applyAlignment="1">
      <alignment horizontal="center"/>
    </xf>
    <xf numFmtId="0" fontId="103" fillId="0" borderId="7" xfId="0" applyFont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11" fillId="0" borderId="0" xfId="0" applyFont="1" applyFill="1" applyAlignment="1" applyProtection="1">
      <alignment/>
      <protection/>
    </xf>
    <xf numFmtId="0" fontId="89" fillId="0" borderId="0" xfId="0" applyFont="1" applyFill="1" applyAlignment="1">
      <alignment horizontal="left"/>
    </xf>
    <xf numFmtId="49" fontId="91" fillId="0" borderId="0" xfId="0" applyNumberFormat="1" applyFont="1" applyAlignment="1">
      <alignment horizontal="left"/>
    </xf>
    <xf numFmtId="0" fontId="65" fillId="9" borderId="0" xfId="0" applyFont="1" applyFill="1" applyAlignment="1" applyProtection="1">
      <alignment horizontal="left"/>
      <protection/>
    </xf>
    <xf numFmtId="14" fontId="103" fillId="11" borderId="7" xfId="0" applyNumberFormat="1" applyFont="1" applyFill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50" fillId="11" borderId="0" xfId="0" applyNumberFormat="1" applyFont="1" applyFill="1" applyAlignment="1" applyProtection="1">
      <alignment horizontal="center"/>
      <protection/>
    </xf>
    <xf numFmtId="14" fontId="49" fillId="0" borderId="0" xfId="0" applyNumberFormat="1" applyFont="1" applyAlignment="1" applyProtection="1">
      <alignment horizontal="center"/>
      <protection/>
    </xf>
    <xf numFmtId="14" fontId="5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9" borderId="0" xfId="0" applyNumberFormat="1" applyFill="1" applyAlignment="1" applyProtection="1">
      <alignment/>
      <protection/>
    </xf>
    <xf numFmtId="49" fontId="0" fillId="6" borderId="0" xfId="0" applyNumberForma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88" fontId="0" fillId="0" borderId="0" xfId="0" applyNumberFormat="1" applyFont="1" applyAlignment="1" applyProtection="1">
      <alignment/>
      <protection locked="0"/>
    </xf>
    <xf numFmtId="0" fontId="16" fillId="5" borderId="0" xfId="0" applyFont="1" applyFill="1" applyAlignment="1" applyProtection="1">
      <alignment/>
      <protection/>
    </xf>
    <xf numFmtId="170" fontId="0" fillId="0" borderId="0" xfId="19" applyFont="1" applyAlignment="1">
      <alignment/>
    </xf>
    <xf numFmtId="0" fontId="104" fillId="5" borderId="0" xfId="0" applyFont="1" applyFill="1" applyBorder="1" applyAlignment="1">
      <alignment horizontal="left"/>
    </xf>
    <xf numFmtId="14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left"/>
    </xf>
    <xf numFmtId="188" fontId="17" fillId="20" borderId="0" xfId="0" applyNumberFormat="1" applyFont="1" applyFill="1" applyAlignment="1" applyProtection="1">
      <alignment/>
      <protection/>
    </xf>
    <xf numFmtId="188" fontId="18" fillId="20" borderId="0" xfId="0" applyNumberFormat="1" applyFont="1" applyFill="1" applyAlignment="1" applyProtection="1">
      <alignment/>
      <protection/>
    </xf>
    <xf numFmtId="174" fontId="0" fillId="5" borderId="0" xfId="0" applyNumberFormat="1" applyFill="1" applyAlignment="1" applyProtection="1">
      <alignment/>
      <protection/>
    </xf>
    <xf numFmtId="177" fontId="106" fillId="0" borderId="0" xfId="0" applyNumberFormat="1" applyFont="1" applyFill="1" applyAlignment="1">
      <alignment/>
    </xf>
    <xf numFmtId="177" fontId="107" fillId="0" borderId="0" xfId="0" applyNumberFormat="1" applyFont="1" applyAlignment="1" applyProtection="1">
      <alignment/>
      <protection locked="0"/>
    </xf>
    <xf numFmtId="0" fontId="110" fillId="0" borderId="30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 applyAlignment="1" applyProtection="1">
      <alignment/>
      <protection locked="0"/>
    </xf>
    <xf numFmtId="188" fontId="37" fillId="0" borderId="0" xfId="0" applyNumberFormat="1" applyFont="1" applyAlignment="1" applyProtection="1">
      <alignment/>
      <protection locked="0"/>
    </xf>
    <xf numFmtId="192" fontId="0" fillId="8" borderId="1" xfId="19" applyNumberFormat="1" applyFont="1" applyFill="1" applyBorder="1" applyAlignment="1">
      <alignment horizontal="center"/>
    </xf>
    <xf numFmtId="192" fontId="0" fillId="8" borderId="39" xfId="19" applyNumberFormat="1" applyFont="1" applyFill="1" applyBorder="1" applyAlignment="1">
      <alignment horizontal="center"/>
    </xf>
    <xf numFmtId="192" fontId="0" fillId="8" borderId="30" xfId="19" applyNumberFormat="1" applyFont="1" applyFill="1" applyBorder="1" applyAlignment="1">
      <alignment/>
    </xf>
    <xf numFmtId="192" fontId="0" fillId="5" borderId="5" xfId="19" applyNumberFormat="1" applyFont="1" applyFill="1" applyBorder="1" applyAlignment="1">
      <alignment/>
    </xf>
    <xf numFmtId="192" fontId="0" fillId="5" borderId="1" xfId="19" applyNumberFormat="1" applyFont="1" applyFill="1" applyBorder="1" applyAlignment="1">
      <alignment/>
    </xf>
    <xf numFmtId="192" fontId="0" fillId="5" borderId="15" xfId="19" applyNumberFormat="1" applyFont="1" applyFill="1" applyBorder="1" applyAlignment="1">
      <alignment/>
    </xf>
    <xf numFmtId="192" fontId="0" fillId="5" borderId="0" xfId="19" applyNumberFormat="1" applyFont="1" applyFill="1" applyBorder="1" applyAlignment="1">
      <alignment/>
    </xf>
    <xf numFmtId="192" fontId="0" fillId="5" borderId="39" xfId="19" applyNumberFormat="1" applyFont="1" applyFill="1" applyBorder="1" applyAlignment="1">
      <alignment/>
    </xf>
    <xf numFmtId="192" fontId="0" fillId="5" borderId="16" xfId="19" applyNumberFormat="1" applyFont="1" applyFill="1" applyBorder="1" applyAlignment="1">
      <alignment/>
    </xf>
    <xf numFmtId="192" fontId="0" fillId="5" borderId="34" xfId="19" applyNumberFormat="1" applyFont="1" applyFill="1" applyBorder="1" applyAlignment="1">
      <alignment/>
    </xf>
    <xf numFmtId="192" fontId="0" fillId="11" borderId="30" xfId="19" applyNumberFormat="1" applyFont="1" applyFill="1" applyBorder="1" applyAlignment="1">
      <alignment/>
    </xf>
    <xf numFmtId="192" fontId="0" fillId="11" borderId="30" xfId="19" applyNumberFormat="1" applyFont="1" applyFill="1" applyBorder="1" applyAlignment="1">
      <alignment horizontal="left"/>
    </xf>
    <xf numFmtId="192" fontId="0" fillId="11" borderId="30" xfId="19" applyNumberFormat="1" applyFont="1" applyFill="1" applyBorder="1" applyAlignment="1">
      <alignment horizontal="right"/>
    </xf>
    <xf numFmtId="192" fontId="0" fillId="7" borderId="30" xfId="19" applyNumberFormat="1" applyFont="1" applyFill="1" applyBorder="1" applyAlignment="1">
      <alignment/>
    </xf>
    <xf numFmtId="192" fontId="0" fillId="10" borderId="30" xfId="19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7" fontId="111" fillId="0" borderId="0" xfId="0" applyNumberFormat="1" applyFont="1" applyAlignment="1">
      <alignment/>
    </xf>
    <xf numFmtId="177" fontId="112" fillId="0" borderId="0" xfId="0" applyNumberFormat="1" applyFont="1" applyFill="1" applyAlignment="1">
      <alignment/>
    </xf>
    <xf numFmtId="177" fontId="61" fillId="0" borderId="0" xfId="0" applyNumberFormat="1" applyFont="1" applyAlignment="1" applyProtection="1">
      <alignment horizontal="center"/>
      <protection locked="0"/>
    </xf>
    <xf numFmtId="177" fontId="114" fillId="0" borderId="0" xfId="0" applyNumberFormat="1" applyFont="1" applyAlignment="1" applyProtection="1">
      <alignment/>
      <protection locked="0"/>
    </xf>
    <xf numFmtId="177" fontId="17" fillId="0" borderId="0" xfId="0" applyNumberFormat="1" applyFont="1" applyAlignment="1">
      <alignment horizontal="right" vertical="top"/>
    </xf>
    <xf numFmtId="0" fontId="115" fillId="0" borderId="0" xfId="0" applyFont="1" applyAlignment="1" applyProtection="1">
      <alignment/>
      <protection locked="0"/>
    </xf>
    <xf numFmtId="177" fontId="106" fillId="0" borderId="0" xfId="0" applyNumberFormat="1" applyFont="1" applyFill="1" applyAlignment="1">
      <alignment/>
    </xf>
    <xf numFmtId="177" fontId="107" fillId="0" borderId="0" xfId="0" applyNumberFormat="1" applyFont="1" applyAlignment="1" applyProtection="1">
      <alignment/>
      <protection locked="0"/>
    </xf>
    <xf numFmtId="0" fontId="117" fillId="0" borderId="0" xfId="18" applyFont="1" applyAlignment="1" applyProtection="1">
      <alignment/>
      <protection locked="0"/>
    </xf>
    <xf numFmtId="49" fontId="118" fillId="6" borderId="40" xfId="18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 locked="0"/>
    </xf>
    <xf numFmtId="0" fontId="119" fillId="0" borderId="0" xfId="18" applyFont="1" applyAlignment="1" applyProtection="1">
      <alignment/>
      <protection locked="0"/>
    </xf>
    <xf numFmtId="0" fontId="120" fillId="0" borderId="0" xfId="0" applyFont="1" applyAlignment="1">
      <alignment/>
    </xf>
    <xf numFmtId="177" fontId="121" fillId="0" borderId="0" xfId="0" applyNumberFormat="1" applyFont="1" applyFill="1" applyAlignment="1">
      <alignment/>
    </xf>
    <xf numFmtId="177" fontId="122" fillId="0" borderId="0" xfId="0" applyNumberFormat="1" applyFont="1" applyAlignment="1" applyProtection="1">
      <alignment/>
      <protection locked="0"/>
    </xf>
    <xf numFmtId="0" fontId="40" fillId="2" borderId="0" xfId="0" applyFont="1" applyFill="1" applyAlignment="1">
      <alignment horizontal="left"/>
    </xf>
    <xf numFmtId="10" fontId="64" fillId="6" borderId="1" xfId="0" applyNumberFormat="1" applyFont="1" applyFill="1" applyBorder="1" applyAlignment="1">
      <alignment horizontal="right" vertical="center"/>
    </xf>
    <xf numFmtId="10" fontId="64" fillId="6" borderId="39" xfId="0" applyNumberFormat="1" applyFont="1" applyFill="1" applyBorder="1" applyAlignment="1">
      <alignment horizontal="right" vertical="center"/>
    </xf>
    <xf numFmtId="10" fontId="64" fillId="6" borderId="3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9</xdr:row>
      <xdr:rowOff>9525</xdr:rowOff>
    </xdr:from>
    <xdr:to>
      <xdr:col>6</xdr:col>
      <xdr:colOff>9525</xdr:colOff>
      <xdr:row>11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91200" y="15621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119</xdr:row>
      <xdr:rowOff>114300</xdr:rowOff>
    </xdr:from>
    <xdr:to>
      <xdr:col>6</xdr:col>
      <xdr:colOff>809625</xdr:colOff>
      <xdr:row>124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19611975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0</xdr:rowOff>
    </xdr:from>
    <xdr:to>
      <xdr:col>4</xdr:col>
      <xdr:colOff>733425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610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9525</xdr:rowOff>
    </xdr:from>
    <xdr:to>
      <xdr:col>4</xdr:col>
      <xdr:colOff>733425</xdr:colOff>
      <xdr:row>29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19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0</xdr:rowOff>
    </xdr:from>
    <xdr:to>
      <xdr:col>4</xdr:col>
      <xdr:colOff>733425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4610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9525</xdr:rowOff>
    </xdr:from>
    <xdr:to>
      <xdr:col>4</xdr:col>
      <xdr:colOff>733425</xdr:colOff>
      <xdr:row>29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619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0</xdr:rowOff>
    </xdr:from>
    <xdr:to>
      <xdr:col>4</xdr:col>
      <xdr:colOff>733425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610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9525</xdr:rowOff>
    </xdr:from>
    <xdr:to>
      <xdr:col>4</xdr:col>
      <xdr:colOff>733425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619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28575</xdr:rowOff>
    </xdr:from>
    <xdr:to>
      <xdr:col>4</xdr:col>
      <xdr:colOff>733425</xdr:colOff>
      <xdr:row>30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6386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26</xdr:row>
      <xdr:rowOff>28575</xdr:rowOff>
    </xdr:from>
    <xdr:to>
      <xdr:col>4</xdr:col>
      <xdr:colOff>771525</xdr:colOff>
      <xdr:row>29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6386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9525</xdr:rowOff>
    </xdr:from>
    <xdr:to>
      <xdr:col>4</xdr:col>
      <xdr:colOff>733425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619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9525</xdr:rowOff>
    </xdr:from>
    <xdr:to>
      <xdr:col>4</xdr:col>
      <xdr:colOff>733425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619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</xdr:row>
      <xdr:rowOff>266700</xdr:rowOff>
    </xdr:from>
    <xdr:to>
      <xdr:col>6</xdr:col>
      <xdr:colOff>66675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64770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19050</xdr:rowOff>
    </xdr:from>
    <xdr:to>
      <xdr:col>11</xdr:col>
      <xdr:colOff>9525</xdr:colOff>
      <xdr:row>1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0</xdr:rowOff>
    </xdr:from>
    <xdr:to>
      <xdr:col>4</xdr:col>
      <xdr:colOff>733425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610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9525</xdr:rowOff>
    </xdr:from>
    <xdr:to>
      <xdr:col>4</xdr:col>
      <xdr:colOff>733425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619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9525</xdr:rowOff>
    </xdr:from>
    <xdr:to>
      <xdr:col>4</xdr:col>
      <xdr:colOff>733425</xdr:colOff>
      <xdr:row>29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619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47625</xdr:rowOff>
    </xdr:from>
    <xdr:to>
      <xdr:col>6</xdr:col>
      <xdr:colOff>1200150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62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26</xdr:row>
      <xdr:rowOff>0</xdr:rowOff>
    </xdr:from>
    <xdr:to>
      <xdr:col>4</xdr:col>
      <xdr:colOff>590550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6005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25</xdr:row>
      <xdr:rowOff>190500</xdr:rowOff>
    </xdr:from>
    <xdr:to>
      <xdr:col>4</xdr:col>
      <xdr:colOff>714375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610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0</xdr:rowOff>
    </xdr:from>
    <xdr:to>
      <xdr:col>4</xdr:col>
      <xdr:colOff>733425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6005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0</xdr:rowOff>
    </xdr:from>
    <xdr:to>
      <xdr:col>4</xdr:col>
      <xdr:colOff>733425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610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25</xdr:row>
      <xdr:rowOff>190500</xdr:rowOff>
    </xdr:from>
    <xdr:to>
      <xdr:col>4</xdr:col>
      <xdr:colOff>733425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610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26</xdr:row>
      <xdr:rowOff>9525</xdr:rowOff>
    </xdr:from>
    <xdr:to>
      <xdr:col>4</xdr:col>
      <xdr:colOff>733425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619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IF(G1&gt;H1,&quot;*&quot;,&quot;-&quot;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hyperlink" Target="mailto:=@IF(G1&gt;H1,&quot;*&quot;,&quot;-&quot;)" TargetMode="External" /><Relationship Id="rId45" Type="http://schemas.openxmlformats.org/officeDocument/2006/relationships/hyperlink" Target="mailto:=@IF(G1&gt;H1,&quot;*&quot;,&quot;-&quot;)" TargetMode="External" /><Relationship Id="rId46" Type="http://schemas.openxmlformats.org/officeDocument/2006/relationships/hyperlink" Target="mailto:=@IF(G1&gt;H1,&quot;*&quot;,&quot;-&quot;)" TargetMode="External" /><Relationship Id="rId47" Type="http://schemas.openxmlformats.org/officeDocument/2006/relationships/hyperlink" Target="mailto:=@IF(G1&gt;H1,&quot;*&quot;,&quot;-&quot;)" TargetMode="External" /><Relationship Id="rId48" Type="http://schemas.openxmlformats.org/officeDocument/2006/relationships/hyperlink" Target="mailto:=@IF(G1&gt;H1,&quot;*&quot;,&quot;-&quot;)" TargetMode="External" /><Relationship Id="rId49" Type="http://schemas.openxmlformats.org/officeDocument/2006/relationships/hyperlink" Target="mailto:=@IF(G1&gt;H1,&quot;*&quot;,&quot;-&quot;)" TargetMode="External" /><Relationship Id="rId50" Type="http://schemas.openxmlformats.org/officeDocument/2006/relationships/hyperlink" Target="mailto:=@IF(G1&gt;H1,&quot;*&quot;,&quot;-&quot;)" TargetMode="External" /><Relationship Id="rId51" Type="http://schemas.openxmlformats.org/officeDocument/2006/relationships/hyperlink" Target="mailto:=@IF(G1&gt;H1,&quot;*&quot;,&quot;-&quot;)" TargetMode="External" /><Relationship Id="rId52" Type="http://schemas.openxmlformats.org/officeDocument/2006/relationships/hyperlink" Target="mailto:=@IF(G1&gt;H1,&quot;*&quot;,&quot;-&quot;)" TargetMode="External" /><Relationship Id="rId53" Type="http://schemas.openxmlformats.org/officeDocument/2006/relationships/drawing" Target="../drawings/drawing6.xml" /><Relationship Id="rId5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7.xml" /><Relationship Id="rId4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=@today(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IF(G1&gt;H1,&quot;*&quot;,&quot;-&quot;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hyperlink" Target="mailto:=@IF(G1&gt;H1,&quot;*&quot;,&quot;-&quot;)" TargetMode="External" /><Relationship Id="rId45" Type="http://schemas.openxmlformats.org/officeDocument/2006/relationships/hyperlink" Target="mailto:=@IF(G1&gt;H1,&quot;*&quot;,&quot;-&quot;)" TargetMode="External" /><Relationship Id="rId46" Type="http://schemas.openxmlformats.org/officeDocument/2006/relationships/hyperlink" Target="mailto:=@IF(G1&gt;H1,&quot;*&quot;,&quot;-&quot;)" TargetMode="External" /><Relationship Id="rId47" Type="http://schemas.openxmlformats.org/officeDocument/2006/relationships/hyperlink" Target="mailto:=@IF(G1&gt;H1,&quot;*&quot;,&quot;-&quot;)" TargetMode="External" /><Relationship Id="rId48" Type="http://schemas.openxmlformats.org/officeDocument/2006/relationships/hyperlink" Target="mailto:=@IF(G1&gt;H1,&quot;*&quot;,&quot;-&quot;)" TargetMode="External" /><Relationship Id="rId49" Type="http://schemas.openxmlformats.org/officeDocument/2006/relationships/hyperlink" Target="mailto:=@IF(G1&gt;H1,&quot;*&quot;,&quot;-&quot;)" TargetMode="External" /><Relationship Id="rId50" Type="http://schemas.openxmlformats.org/officeDocument/2006/relationships/hyperlink" Target="mailto:=@IF(G1&gt;H1,&quot;*&quot;,&quot;-&quot;)" TargetMode="External" /><Relationship Id="rId51" Type="http://schemas.openxmlformats.org/officeDocument/2006/relationships/hyperlink" Target="mailto:=@IF(G1&gt;H1,&quot;*&quot;,&quot;-&quot;)" TargetMode="External" /><Relationship Id="rId52" Type="http://schemas.openxmlformats.org/officeDocument/2006/relationships/hyperlink" Target="mailto:=@IF(G1&gt;H1,&quot;*&quot;,&quot;-&quot;)" TargetMode="External" /><Relationship Id="rId53" Type="http://schemas.openxmlformats.org/officeDocument/2006/relationships/hyperlink" Target="mailto:=@IF(G1&gt;H1,&quot;*&quot;,&quot;-&quot;)" TargetMode="External" /><Relationship Id="rId54" Type="http://schemas.openxmlformats.org/officeDocument/2006/relationships/drawing" Target="../drawings/drawing8.xml" /><Relationship Id="rId5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9.xml" /><Relationship Id="rId4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IF(G1&gt;H1,&quot;*&quot;,&quot;-&quot;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today(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hyperlink" Target="mailto:=@IF(G1&gt;H1,&quot;*&quot;,&quot;-&quot;)" TargetMode="External" /><Relationship Id="rId45" Type="http://schemas.openxmlformats.org/officeDocument/2006/relationships/hyperlink" Target="mailto:=@IF(G1&gt;H1,&quot;*&quot;,&quot;-&quot;)" TargetMode="External" /><Relationship Id="rId46" Type="http://schemas.openxmlformats.org/officeDocument/2006/relationships/hyperlink" Target="mailto:=@IF(G1&gt;H1,&quot;*&quot;,&quot;-&quot;)" TargetMode="External" /><Relationship Id="rId47" Type="http://schemas.openxmlformats.org/officeDocument/2006/relationships/hyperlink" Target="mailto:=@IF(G1&gt;H1,&quot;*&quot;,&quot;-&quot;)" TargetMode="External" /><Relationship Id="rId48" Type="http://schemas.openxmlformats.org/officeDocument/2006/relationships/hyperlink" Target="mailto:=@IF(G1&gt;H1,&quot;*&quot;,&quot;-&quot;)" TargetMode="External" /><Relationship Id="rId49" Type="http://schemas.openxmlformats.org/officeDocument/2006/relationships/hyperlink" Target="mailto:=@IF(G1&gt;H1,&quot;*&quot;,&quot;-&quot;)" TargetMode="External" /><Relationship Id="rId50" Type="http://schemas.openxmlformats.org/officeDocument/2006/relationships/hyperlink" Target="mailto:=@IF(G1&gt;H1,&quot;*&quot;,&quot;-&quot;)" TargetMode="External" /><Relationship Id="rId51" Type="http://schemas.openxmlformats.org/officeDocument/2006/relationships/hyperlink" Target="mailto:=@IF(G1&gt;H1,&quot;*&quot;,&quot;-&quot;)" TargetMode="External" /><Relationship Id="rId52" Type="http://schemas.openxmlformats.org/officeDocument/2006/relationships/hyperlink" Target="mailto:=@IF(G1&gt;H1,&quot;*&quot;,&quot;-&quot;)" TargetMode="External" /><Relationship Id="rId53" Type="http://schemas.openxmlformats.org/officeDocument/2006/relationships/hyperlink" Target="mailto:=@IF(G1&gt;H1,&quot;*&quot;,&quot;-&quot;)" TargetMode="External" /><Relationship Id="rId54" Type="http://schemas.openxmlformats.org/officeDocument/2006/relationships/drawing" Target="../drawings/drawing10.xml" /><Relationship Id="rId5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11.xml" /><Relationship Id="rId4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IF(G1&gt;H1,&quot;*&quot;,&quot;-&quot;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today(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hyperlink" Target="mailto:=@IF(G1&gt;H1,&quot;*&quot;,&quot;-&quot;)" TargetMode="External" /><Relationship Id="rId45" Type="http://schemas.openxmlformats.org/officeDocument/2006/relationships/hyperlink" Target="mailto:=@IF(G1&gt;H1,&quot;*&quot;,&quot;-&quot;)" TargetMode="External" /><Relationship Id="rId46" Type="http://schemas.openxmlformats.org/officeDocument/2006/relationships/hyperlink" Target="mailto:=@IF(G1&gt;H1,&quot;*&quot;,&quot;-&quot;)" TargetMode="External" /><Relationship Id="rId47" Type="http://schemas.openxmlformats.org/officeDocument/2006/relationships/hyperlink" Target="mailto:=@IF(G1&gt;H1,&quot;*&quot;,&quot;-&quot;)" TargetMode="External" /><Relationship Id="rId48" Type="http://schemas.openxmlformats.org/officeDocument/2006/relationships/hyperlink" Target="mailto:=@IF(G1&gt;H1,&quot;*&quot;,&quot;-&quot;)" TargetMode="External" /><Relationship Id="rId49" Type="http://schemas.openxmlformats.org/officeDocument/2006/relationships/hyperlink" Target="mailto:=@IF(G1&gt;H1,&quot;*&quot;,&quot;-&quot;)" TargetMode="External" /><Relationship Id="rId50" Type="http://schemas.openxmlformats.org/officeDocument/2006/relationships/hyperlink" Target="mailto:=@IF(G1&gt;H1,&quot;*&quot;,&quot;-&quot;)" TargetMode="External" /><Relationship Id="rId51" Type="http://schemas.openxmlformats.org/officeDocument/2006/relationships/hyperlink" Target="mailto:=@IF(G1&gt;H1,&quot;*&quot;,&quot;-&quot;)" TargetMode="External" /><Relationship Id="rId52" Type="http://schemas.openxmlformats.org/officeDocument/2006/relationships/hyperlink" Target="mailto:=@IF(G1&gt;H1,&quot;*&quot;,&quot;-&quot;)" TargetMode="External" /><Relationship Id="rId53" Type="http://schemas.openxmlformats.org/officeDocument/2006/relationships/hyperlink" Target="mailto:=@IF(G1&gt;H1,&quot;*&quot;,&quot;-&quot;)" TargetMode="External" /><Relationship Id="rId54" Type="http://schemas.openxmlformats.org/officeDocument/2006/relationships/drawing" Target="../drawings/drawing12.xml" /><Relationship Id="rId5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13.xml" /><Relationship Id="rId4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IF(G1&gt;H1,&quot;*&quot;,&quot;-&quot;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today(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hyperlink" Target="mailto:=@IF(G1&gt;H1,&quot;*&quot;,&quot;-&quot;)" TargetMode="External" /><Relationship Id="rId45" Type="http://schemas.openxmlformats.org/officeDocument/2006/relationships/hyperlink" Target="mailto:=@IF(G1&gt;H1,&quot;*&quot;,&quot;-&quot;)" TargetMode="External" /><Relationship Id="rId46" Type="http://schemas.openxmlformats.org/officeDocument/2006/relationships/hyperlink" Target="mailto:=@IF(G1&gt;H1,&quot;*&quot;,&quot;-&quot;)" TargetMode="External" /><Relationship Id="rId47" Type="http://schemas.openxmlformats.org/officeDocument/2006/relationships/hyperlink" Target="mailto:=@IF(G1&gt;H1,&quot;*&quot;,&quot;-&quot;)" TargetMode="External" /><Relationship Id="rId48" Type="http://schemas.openxmlformats.org/officeDocument/2006/relationships/hyperlink" Target="mailto:=@IF(G1&gt;H1,&quot;*&quot;,&quot;-&quot;)" TargetMode="External" /><Relationship Id="rId49" Type="http://schemas.openxmlformats.org/officeDocument/2006/relationships/hyperlink" Target="mailto:=@IF(G1&gt;H1,&quot;*&quot;,&quot;-&quot;)" TargetMode="External" /><Relationship Id="rId50" Type="http://schemas.openxmlformats.org/officeDocument/2006/relationships/hyperlink" Target="mailto:=@IF(G1&gt;H1,&quot;*&quot;,&quot;-&quot;)" TargetMode="External" /><Relationship Id="rId51" Type="http://schemas.openxmlformats.org/officeDocument/2006/relationships/hyperlink" Target="mailto:=@IF(G1&gt;H1,&quot;*&quot;,&quot;-&quot;)" TargetMode="External" /><Relationship Id="rId52" Type="http://schemas.openxmlformats.org/officeDocument/2006/relationships/hyperlink" Target="mailto:=@IF(G1&gt;H1,&quot;*&quot;,&quot;-&quot;)" TargetMode="External" /><Relationship Id="rId53" Type="http://schemas.openxmlformats.org/officeDocument/2006/relationships/hyperlink" Target="mailto:=@IF(G1&gt;H1,&quot;*&quot;,&quot;-&quot;)" TargetMode="External" /><Relationship Id="rId54" Type="http://schemas.openxmlformats.org/officeDocument/2006/relationships/drawing" Target="../drawings/drawing14.xml" /><Relationship Id="rId5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15.xml" /><Relationship Id="rId45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IF(G1&gt;H1,&quot;*&quot;,&quot;-&quot;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today(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hyperlink" Target="mailto:=@IF(G1&gt;H1,&quot;*&quot;,&quot;-&quot;)" TargetMode="External" /><Relationship Id="rId45" Type="http://schemas.openxmlformats.org/officeDocument/2006/relationships/hyperlink" Target="mailto:=@IF(G1&gt;H1,&quot;*&quot;,&quot;-&quot;)" TargetMode="External" /><Relationship Id="rId46" Type="http://schemas.openxmlformats.org/officeDocument/2006/relationships/hyperlink" Target="mailto:=@IF(G1&gt;H1,&quot;*&quot;,&quot;-&quot;)" TargetMode="External" /><Relationship Id="rId47" Type="http://schemas.openxmlformats.org/officeDocument/2006/relationships/hyperlink" Target="mailto:=@IF(G1&gt;H1,&quot;*&quot;,&quot;-&quot;)" TargetMode="External" /><Relationship Id="rId48" Type="http://schemas.openxmlformats.org/officeDocument/2006/relationships/hyperlink" Target="mailto:=@IF(G1&gt;H1,&quot;*&quot;,&quot;-&quot;)" TargetMode="External" /><Relationship Id="rId49" Type="http://schemas.openxmlformats.org/officeDocument/2006/relationships/hyperlink" Target="mailto:=@IF(G1&gt;H1,&quot;*&quot;,&quot;-&quot;)" TargetMode="External" /><Relationship Id="rId50" Type="http://schemas.openxmlformats.org/officeDocument/2006/relationships/hyperlink" Target="mailto:=@IF(G1&gt;H1,&quot;*&quot;,&quot;-&quot;)" TargetMode="External" /><Relationship Id="rId51" Type="http://schemas.openxmlformats.org/officeDocument/2006/relationships/hyperlink" Target="mailto:=@IF(G1&gt;H1,&quot;*&quot;,&quot;-&quot;)" TargetMode="External" /><Relationship Id="rId52" Type="http://schemas.openxmlformats.org/officeDocument/2006/relationships/hyperlink" Target="mailto:=@IF(G1&gt;H1,&quot;*&quot;,&quot;-&quot;)" TargetMode="External" /><Relationship Id="rId53" Type="http://schemas.openxmlformats.org/officeDocument/2006/relationships/hyperlink" Target="mailto:=@IF(G1&gt;H1,&quot;*&quot;,&quot;-&quot;)" TargetMode="External" /><Relationship Id="rId54" Type="http://schemas.openxmlformats.org/officeDocument/2006/relationships/drawing" Target="../drawings/drawing16.xml" /><Relationship Id="rId5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17.xml" /><Relationship Id="rId45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18.xml" /><Relationship Id="rId45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19.xml" /><Relationship Id="rId45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20.xml" /><Relationship Id="rId45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21.xml" /><Relationship Id="rId45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=@IF(G1&gt;H1,&quot;*&quot;,&quot;-&quot;)" TargetMode="External" /><Relationship Id="rId2" Type="http://schemas.openxmlformats.org/officeDocument/2006/relationships/hyperlink" Target="mailto:=@IF(G1&gt;H1,&quot;*&quot;,&quot;-&quot;)" TargetMode="External" /><Relationship Id="rId3" Type="http://schemas.openxmlformats.org/officeDocument/2006/relationships/hyperlink" Target="mailto:=@IF(G1&gt;H1,&quot;*&quot;,&quot;-&quot;)" TargetMode="External" /><Relationship Id="rId4" Type="http://schemas.openxmlformats.org/officeDocument/2006/relationships/hyperlink" Target="mailto:=@IF(G1&gt;H1,&quot;*&quot;,&quot;-&quot;)" TargetMode="External" /><Relationship Id="rId5" Type="http://schemas.openxmlformats.org/officeDocument/2006/relationships/hyperlink" Target="mailto:=@IF(G1&gt;H1,&quot;*&quot;,&quot;-&quot;)" TargetMode="External" /><Relationship Id="rId6" Type="http://schemas.openxmlformats.org/officeDocument/2006/relationships/hyperlink" Target="mailto:=@IF(G1&gt;H1,&quot;*&quot;,&quot;-&quot;)" TargetMode="External" /><Relationship Id="rId7" Type="http://schemas.openxmlformats.org/officeDocument/2006/relationships/hyperlink" Target="mailto:=@IF(G1&gt;H1,&quot;*&quot;,&quot;-&quot;)" TargetMode="External" /><Relationship Id="rId8" Type="http://schemas.openxmlformats.org/officeDocument/2006/relationships/hyperlink" Target="mailto:=@IF(G1&gt;H1,&quot;*&quot;,&quot;-&quot;)" TargetMode="External" /><Relationship Id="rId9" Type="http://schemas.openxmlformats.org/officeDocument/2006/relationships/hyperlink" Target="mailto:=@IF(G1&gt;H1,&quot;*&quot;,&quot;-&quot;)" TargetMode="External" /><Relationship Id="rId10" Type="http://schemas.openxmlformats.org/officeDocument/2006/relationships/hyperlink" Target="mailto:=@IF(G1&gt;H1,&quot;*&quot;,&quot;-&quot;)" TargetMode="External" /><Relationship Id="rId11" Type="http://schemas.openxmlformats.org/officeDocument/2006/relationships/hyperlink" Target="mailto:=@IF(G1&gt;H1,&quot;*&quot;,&quot;-&quot;)" TargetMode="External" /><Relationship Id="rId12" Type="http://schemas.openxmlformats.org/officeDocument/2006/relationships/hyperlink" Target="mailto:=@IF(G1&gt;H1,&quot;*&quot;,&quot;-&quot;)" TargetMode="External" /><Relationship Id="rId13" Type="http://schemas.openxmlformats.org/officeDocument/2006/relationships/hyperlink" Target="mailto:=@IF(G1&gt;H1,&quot;*&quot;,&quot;-&quot;)" TargetMode="External" /><Relationship Id="rId14" Type="http://schemas.openxmlformats.org/officeDocument/2006/relationships/hyperlink" Target="mailto:=@IF(G1&gt;H1,&quot;*&quot;,&quot;-&quot;)" TargetMode="External" /><Relationship Id="rId15" Type="http://schemas.openxmlformats.org/officeDocument/2006/relationships/hyperlink" Target="mailto:=@IF(G1&gt;H1,&quot;*&quot;,&quot;-&quot;)" TargetMode="External" /><Relationship Id="rId16" Type="http://schemas.openxmlformats.org/officeDocument/2006/relationships/hyperlink" Target="mailto:=@IF(G1&gt;H1,&quot;*&quot;,&quot;-&quot;)" TargetMode="External" /><Relationship Id="rId17" Type="http://schemas.openxmlformats.org/officeDocument/2006/relationships/hyperlink" Target="mailto:=@IF(G1&gt;H1,&quot;*&quot;,&quot;-&quot;)" TargetMode="External" /><Relationship Id="rId18" Type="http://schemas.openxmlformats.org/officeDocument/2006/relationships/hyperlink" Target="mailto:=@IF(G1&gt;H1,&quot;*&quot;,&quot;-&quot;)" TargetMode="External" /><Relationship Id="rId19" Type="http://schemas.openxmlformats.org/officeDocument/2006/relationships/hyperlink" Target="mailto:=@today()" TargetMode="External" /><Relationship Id="rId20" Type="http://schemas.openxmlformats.org/officeDocument/2006/relationships/hyperlink" Target="mailto:=@IF(G1&gt;H1,&quot;*&quot;,&quot;-&quot;)" TargetMode="External" /><Relationship Id="rId21" Type="http://schemas.openxmlformats.org/officeDocument/2006/relationships/hyperlink" Target="mailto:=@IF(G1&gt;H1,&quot;*&quot;,&quot;-&quot;)" TargetMode="External" /><Relationship Id="rId22" Type="http://schemas.openxmlformats.org/officeDocument/2006/relationships/hyperlink" Target="mailto:=@IF(G1&gt;H1,&quot;*&quot;,&quot;-&quot;)" TargetMode="External" /><Relationship Id="rId23" Type="http://schemas.openxmlformats.org/officeDocument/2006/relationships/hyperlink" Target="mailto:=@IF(G1&gt;H1,&quot;*&quot;,&quot;-&quot;)" TargetMode="External" /><Relationship Id="rId24" Type="http://schemas.openxmlformats.org/officeDocument/2006/relationships/hyperlink" Target="mailto:=@IF(G1&gt;H1,&quot;*&quot;,&quot;-&quot;)" TargetMode="External" /><Relationship Id="rId25" Type="http://schemas.openxmlformats.org/officeDocument/2006/relationships/hyperlink" Target="mailto:=@IF(G1&gt;H1,&quot;*&quot;,&quot;-&quot;)" TargetMode="External" /><Relationship Id="rId26" Type="http://schemas.openxmlformats.org/officeDocument/2006/relationships/hyperlink" Target="mailto:=@IF(G1&gt;H1,&quot;*&quot;,&quot;-&quot;)" TargetMode="External" /><Relationship Id="rId27" Type="http://schemas.openxmlformats.org/officeDocument/2006/relationships/hyperlink" Target="mailto:=@IF(G1&gt;H1,&quot;*&quot;,&quot;-&quot;)" TargetMode="External" /><Relationship Id="rId28" Type="http://schemas.openxmlformats.org/officeDocument/2006/relationships/hyperlink" Target="mailto:=@IF(G1&gt;H1,&quot;*&quot;,&quot;-&quot;)" TargetMode="External" /><Relationship Id="rId29" Type="http://schemas.openxmlformats.org/officeDocument/2006/relationships/hyperlink" Target="mailto:=@IF(G1&gt;H1,&quot;*&quot;,&quot;-&quot;)" TargetMode="External" /><Relationship Id="rId30" Type="http://schemas.openxmlformats.org/officeDocument/2006/relationships/hyperlink" Target="mailto:=@IF(G1&gt;H1,&quot;*&quot;,&quot;-&quot;)" TargetMode="External" /><Relationship Id="rId31" Type="http://schemas.openxmlformats.org/officeDocument/2006/relationships/hyperlink" Target="mailto:=@IF(G1&gt;H1,&quot;*&quot;,&quot;-&quot;)" TargetMode="External" /><Relationship Id="rId32" Type="http://schemas.openxmlformats.org/officeDocument/2006/relationships/hyperlink" Target="mailto:=@IF(G1&gt;H1,&quot;*&quot;,&quot;-&quot;)" TargetMode="External" /><Relationship Id="rId33" Type="http://schemas.openxmlformats.org/officeDocument/2006/relationships/hyperlink" Target="mailto:=@IF(G1&gt;H1,&quot;*&quot;,&quot;-&quot;)" TargetMode="External" /><Relationship Id="rId34" Type="http://schemas.openxmlformats.org/officeDocument/2006/relationships/hyperlink" Target="mailto:=@IF(G1&gt;H1,&quot;*&quot;,&quot;-&quot;)" TargetMode="External" /><Relationship Id="rId35" Type="http://schemas.openxmlformats.org/officeDocument/2006/relationships/hyperlink" Target="mailto:=@IF(G1&gt;H1,&quot;*&quot;,&quot;-&quot;)" TargetMode="External" /><Relationship Id="rId36" Type="http://schemas.openxmlformats.org/officeDocument/2006/relationships/hyperlink" Target="mailto:=@IF(G1&gt;H1,&quot;*&quot;,&quot;-&quot;)" TargetMode="External" /><Relationship Id="rId37" Type="http://schemas.openxmlformats.org/officeDocument/2006/relationships/hyperlink" Target="mailto:=@IF(G1&gt;H1,&quot;*&quot;,&quot;-&quot;)" TargetMode="External" /><Relationship Id="rId38" Type="http://schemas.openxmlformats.org/officeDocument/2006/relationships/hyperlink" Target="mailto:=@IF(G1&gt;H1,&quot;*&quot;,&quot;-&quot;)" TargetMode="External" /><Relationship Id="rId39" Type="http://schemas.openxmlformats.org/officeDocument/2006/relationships/hyperlink" Target="mailto:=@IF(G1&gt;H1,&quot;*&quot;,&quot;-&quot;)" TargetMode="External" /><Relationship Id="rId40" Type="http://schemas.openxmlformats.org/officeDocument/2006/relationships/hyperlink" Target="mailto:=@IF(G1&gt;H1,&quot;*&quot;,&quot;-&quot;)" TargetMode="External" /><Relationship Id="rId41" Type="http://schemas.openxmlformats.org/officeDocument/2006/relationships/hyperlink" Target="mailto:=@IF(G1&gt;H1,&quot;*&quot;,&quot;-&quot;)" TargetMode="External" /><Relationship Id="rId42" Type="http://schemas.openxmlformats.org/officeDocument/2006/relationships/hyperlink" Target="mailto:=@IF(G1&gt;H1,&quot;*&quot;,&quot;-&quot;)" TargetMode="External" /><Relationship Id="rId43" Type="http://schemas.openxmlformats.org/officeDocument/2006/relationships/hyperlink" Target="mailto:=@IF(G1&gt;H1,&quot;*&quot;,&quot;-&quot;)" TargetMode="External" /><Relationship Id="rId44" Type="http://schemas.openxmlformats.org/officeDocument/2006/relationships/drawing" Target="../drawings/drawing22.xml" /><Relationship Id="rId45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35"/>
    <pageSetUpPr fitToPage="1"/>
  </sheetPr>
  <dimension ref="A1:I731"/>
  <sheetViews>
    <sheetView tabSelected="1" workbookViewId="0" topLeftCell="A1">
      <pane ySplit="12" topLeftCell="BM106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5.140625" style="408" customWidth="1"/>
    <col min="2" max="2" width="10.140625" style="452" bestFit="1" customWidth="1"/>
    <col min="3" max="3" width="42.57421875" style="407" customWidth="1"/>
    <col min="4" max="4" width="18.7109375" style="409" customWidth="1"/>
    <col min="5" max="5" width="7.140625" style="416" customWidth="1"/>
    <col min="6" max="6" width="11.28125" style="407" customWidth="1"/>
    <col min="7" max="7" width="27.28125" style="407" customWidth="1"/>
    <col min="8" max="8" width="16.8515625" style="414" customWidth="1"/>
    <col min="9" max="16384" width="9.140625" style="407" customWidth="1"/>
  </cols>
  <sheetData>
    <row r="1" spans="1:8" ht="17.25">
      <c r="A1" s="417"/>
      <c r="B1" s="502" t="s">
        <v>186</v>
      </c>
      <c r="C1" s="511" t="s">
        <v>110</v>
      </c>
      <c r="D1" s="419" t="s">
        <v>316</v>
      </c>
      <c r="E1" s="420"/>
      <c r="F1" s="434"/>
      <c r="G1" s="418" t="s">
        <v>119</v>
      </c>
      <c r="H1" s="435"/>
    </row>
    <row r="2" spans="1:8" ht="13.5">
      <c r="A2" s="421"/>
      <c r="B2" s="503" t="s">
        <v>106</v>
      </c>
      <c r="C2" s="423" t="s">
        <v>314</v>
      </c>
      <c r="D2" s="424">
        <v>1483.38</v>
      </c>
      <c r="E2" s="420"/>
      <c r="F2" s="410">
        <v>39599</v>
      </c>
      <c r="G2" s="436" t="s">
        <v>111</v>
      </c>
      <c r="H2" s="437"/>
    </row>
    <row r="3" spans="1:8" ht="12.75">
      <c r="A3" s="421"/>
      <c r="B3" s="503" t="s">
        <v>107</v>
      </c>
      <c r="C3" s="425" t="s">
        <v>263</v>
      </c>
      <c r="D3" s="424">
        <f>1!C21+2!C21+3!C21+4!C21+5!C21+6!C21+7!C21+8!C21+9!C21+'10'!C21+'11'!C21+'12'!C21+'13'!C21+'14'!C21+'16'!C21+'16A'!C21+'16B'!C21+2A!C21+2B!C21+SairGelirler!D21</f>
        <v>24392</v>
      </c>
      <c r="E3" s="420"/>
      <c r="F3" s="422" t="s">
        <v>137</v>
      </c>
      <c r="G3" s="438" t="s">
        <v>225</v>
      </c>
      <c r="H3" s="411">
        <v>24.65</v>
      </c>
    </row>
    <row r="4" spans="1:8" ht="12.75">
      <c r="A4" s="421"/>
      <c r="B4" s="503" t="s">
        <v>159</v>
      </c>
      <c r="C4" s="426" t="s">
        <v>264</v>
      </c>
      <c r="D4" s="427">
        <f>SUM(D2:D3)</f>
        <v>25875.38</v>
      </c>
      <c r="E4" s="420"/>
      <c r="F4" s="422" t="s">
        <v>138</v>
      </c>
      <c r="G4" s="439" t="s">
        <v>238</v>
      </c>
      <c r="H4" s="445">
        <f>İcmal!D10</f>
        <v>773.57</v>
      </c>
    </row>
    <row r="5" spans="1:8" ht="12.75">
      <c r="A5" s="421"/>
      <c r="B5" s="503" t="s">
        <v>150</v>
      </c>
      <c r="C5" s="426" t="s">
        <v>234</v>
      </c>
      <c r="D5" s="428">
        <f>İcmal!E10</f>
        <v>193.79999999999382</v>
      </c>
      <c r="E5" s="420"/>
      <c r="F5" s="422" t="s">
        <v>235</v>
      </c>
      <c r="G5" s="439" t="s">
        <v>239</v>
      </c>
      <c r="H5" s="445">
        <f>İcmal!D15</f>
        <v>0</v>
      </c>
    </row>
    <row r="6" spans="1:8" ht="12.75">
      <c r="A6" s="421"/>
      <c r="B6" s="503" t="s">
        <v>240</v>
      </c>
      <c r="C6" s="426" t="s">
        <v>233</v>
      </c>
      <c r="D6" s="428">
        <f>İcmal!E15</f>
        <v>0</v>
      </c>
      <c r="E6" s="420"/>
      <c r="F6" s="422" t="s">
        <v>245</v>
      </c>
      <c r="G6" s="440" t="s">
        <v>148</v>
      </c>
      <c r="H6" s="446">
        <f>SUM(H3:H5)</f>
        <v>798.22</v>
      </c>
    </row>
    <row r="7" spans="1:9" ht="15">
      <c r="A7" s="421"/>
      <c r="B7" s="504" t="s">
        <v>241</v>
      </c>
      <c r="C7" s="495" t="s">
        <v>36</v>
      </c>
      <c r="D7" s="516">
        <f>SUM(D4:D6)</f>
        <v>26069.179999999993</v>
      </c>
      <c r="E7" s="420"/>
      <c r="F7" s="422" t="s">
        <v>236</v>
      </c>
      <c r="G7" s="441" t="str">
        <f>IF(H7&gt;=0,"Yöneticinin üzerindeki nakit","Yöneticinin alacaklı olduğu tutar")</f>
        <v>Yöneticinin alacaklı olduğu tutar</v>
      </c>
      <c r="H7" s="447">
        <f>G12-H6</f>
        <v>-9.777068044058979E-12</v>
      </c>
      <c r="I7" s="412"/>
    </row>
    <row r="8" spans="1:8" ht="12.75">
      <c r="A8" s="429"/>
      <c r="B8" s="505"/>
      <c r="C8" s="423" t="s">
        <v>149</v>
      </c>
      <c r="D8" s="424">
        <f>-(1!F27+2!F27+3!F27+4!F27+5!F27+6!F27+7!F27+8!F27+9!F27+'10'!F27+'11'!F27+'12'!F27+'13'!F27+'14'!F27+'16'!F27+'16A'!F27+'16B'!F27+2A!F27+2B!F27)</f>
        <v>1737.8</v>
      </c>
      <c r="E8" s="420"/>
      <c r="F8" s="422" t="s">
        <v>237</v>
      </c>
      <c r="G8" s="442" t="s">
        <v>121</v>
      </c>
      <c r="H8" s="448">
        <f>H6+H7</f>
        <v>798.2199999999903</v>
      </c>
    </row>
    <row r="9" spans="1:8" ht="12.75">
      <c r="A9" s="498">
        <f>IF(Gelir!F1&lt;&gt;D3,"DİKKAT: Gelir Sayfası Toplamı ile Ferdi Ekstreler Gelir Kolonları Toplamı birbirini tutmuyor.","")</f>
      </c>
      <c r="B9" s="506"/>
      <c r="C9" s="430"/>
      <c r="D9" s="431"/>
      <c r="E9" s="420"/>
      <c r="F9" s="443"/>
      <c r="G9" s="444"/>
      <c r="H9" s="449"/>
    </row>
    <row r="10" spans="1:8" ht="12.75">
      <c r="A10" s="498">
        <f>IF(Gelir!F1&lt;&gt;D3,"*********** HATA VAR! *****************************************************************************************","")</f>
      </c>
      <c r="B10" s="506"/>
      <c r="C10" s="430"/>
      <c r="D10" s="431"/>
      <c r="E10" s="420"/>
      <c r="F10" s="430"/>
      <c r="G10" s="430"/>
      <c r="H10" s="450"/>
    </row>
    <row r="11" spans="1:8" ht="18">
      <c r="A11" s="432"/>
      <c r="B11" s="506"/>
      <c r="C11" s="430"/>
      <c r="D11" s="431"/>
      <c r="E11" s="420"/>
      <c r="F11" s="434"/>
      <c r="G11" s="511" t="s">
        <v>120</v>
      </c>
      <c r="H11" s="518"/>
    </row>
    <row r="12" spans="1:8" ht="18">
      <c r="A12" s="417"/>
      <c r="B12" s="502" t="s">
        <v>242</v>
      </c>
      <c r="C12" s="511" t="s">
        <v>91</v>
      </c>
      <c r="D12" s="516">
        <f>SUM(D13:D5392)</f>
        <v>25270.960000000003</v>
      </c>
      <c r="E12" s="433" t="s">
        <v>122</v>
      </c>
      <c r="F12" s="434"/>
      <c r="G12" s="517">
        <f>D7-D12</f>
        <v>798.2199999999903</v>
      </c>
      <c r="H12" s="451" t="s">
        <v>243</v>
      </c>
    </row>
    <row r="13" spans="1:5" ht="12.75">
      <c r="A13" s="408">
        <v>1</v>
      </c>
      <c r="B13" s="3">
        <v>39245</v>
      </c>
      <c r="C13" s="407" t="s">
        <v>322</v>
      </c>
      <c r="D13" s="409">
        <v>221.45</v>
      </c>
      <c r="E13" s="413">
        <v>2</v>
      </c>
    </row>
    <row r="14" spans="1:5" ht="12.75">
      <c r="A14" s="408">
        <v>2</v>
      </c>
      <c r="B14" s="3">
        <v>39253</v>
      </c>
      <c r="C14" s="407" t="s">
        <v>331</v>
      </c>
      <c r="D14" s="409">
        <v>31.14</v>
      </c>
      <c r="E14" s="413">
        <v>7</v>
      </c>
    </row>
    <row r="15" spans="1:5" ht="12.75">
      <c r="A15" s="408">
        <v>3</v>
      </c>
      <c r="B15" s="3">
        <v>39260</v>
      </c>
      <c r="C15" s="550" t="s">
        <v>334</v>
      </c>
      <c r="D15" s="409">
        <v>22.02</v>
      </c>
      <c r="E15" s="523">
        <v>8</v>
      </c>
    </row>
    <row r="16" spans="1:5" ht="12.75">
      <c r="A16" s="408">
        <v>4</v>
      </c>
      <c r="B16" s="3">
        <v>39260</v>
      </c>
      <c r="C16" s="407" t="s">
        <v>335</v>
      </c>
      <c r="D16" s="409">
        <v>480</v>
      </c>
      <c r="E16" s="413">
        <v>1</v>
      </c>
    </row>
    <row r="17" spans="1:5" ht="12.75">
      <c r="A17" s="408">
        <v>5</v>
      </c>
      <c r="B17" s="3">
        <v>39261</v>
      </c>
      <c r="C17" s="407" t="s">
        <v>338</v>
      </c>
      <c r="D17" s="409">
        <v>375</v>
      </c>
      <c r="E17" s="523">
        <v>1</v>
      </c>
    </row>
    <row r="18" spans="1:6" ht="12.75">
      <c r="A18" s="408">
        <v>6</v>
      </c>
      <c r="B18" s="3">
        <v>39272</v>
      </c>
      <c r="C18" s="524" t="s">
        <v>339</v>
      </c>
      <c r="D18" s="409">
        <v>66</v>
      </c>
      <c r="E18" s="413">
        <v>6</v>
      </c>
      <c r="F18" s="409"/>
    </row>
    <row r="19" spans="1:5" ht="12.75">
      <c r="A19" s="408">
        <v>7</v>
      </c>
      <c r="B19" s="3">
        <v>39280</v>
      </c>
      <c r="C19" s="407" t="s">
        <v>348</v>
      </c>
      <c r="D19" s="409">
        <v>221.45</v>
      </c>
      <c r="E19" s="413">
        <v>2</v>
      </c>
    </row>
    <row r="20" spans="1:5" ht="12.75">
      <c r="A20" s="408">
        <v>8</v>
      </c>
      <c r="B20" s="3">
        <v>39282</v>
      </c>
      <c r="C20" s="407" t="s">
        <v>360</v>
      </c>
      <c r="D20" s="409">
        <v>30.36</v>
      </c>
      <c r="E20" s="413">
        <v>7</v>
      </c>
    </row>
    <row r="21" spans="1:5" ht="12.75">
      <c r="A21" s="408">
        <v>9</v>
      </c>
      <c r="B21" s="3">
        <v>39288</v>
      </c>
      <c r="C21" s="550" t="s">
        <v>359</v>
      </c>
      <c r="D21" s="409">
        <v>20.38</v>
      </c>
      <c r="E21" s="523">
        <v>8</v>
      </c>
    </row>
    <row r="22" spans="1:5" ht="12.75">
      <c r="A22" s="408">
        <v>10</v>
      </c>
      <c r="B22" s="3">
        <v>39294</v>
      </c>
      <c r="C22" s="407" t="s">
        <v>361</v>
      </c>
      <c r="D22" s="409">
        <v>500</v>
      </c>
      <c r="E22" s="413">
        <v>1</v>
      </c>
    </row>
    <row r="23" spans="1:5" ht="12.75">
      <c r="A23" s="408">
        <v>11</v>
      </c>
      <c r="B23" s="3">
        <v>39300</v>
      </c>
      <c r="C23" s="524" t="s">
        <v>371</v>
      </c>
      <c r="D23" s="409">
        <v>66</v>
      </c>
      <c r="E23" s="413">
        <v>6</v>
      </c>
    </row>
    <row r="24" spans="1:5" ht="12.75">
      <c r="A24" s="408">
        <v>12</v>
      </c>
      <c r="B24" s="3">
        <v>39303</v>
      </c>
      <c r="C24" s="407" t="s">
        <v>373</v>
      </c>
      <c r="D24" s="409">
        <v>31.5</v>
      </c>
      <c r="E24" s="523">
        <v>12</v>
      </c>
    </row>
    <row r="25" spans="1:5" ht="12.75">
      <c r="A25" s="408">
        <v>13</v>
      </c>
      <c r="B25" s="3">
        <v>39304</v>
      </c>
      <c r="C25" s="407" t="s">
        <v>373</v>
      </c>
      <c r="D25" s="409">
        <v>15</v>
      </c>
      <c r="E25" s="413">
        <v>12</v>
      </c>
    </row>
    <row r="26" spans="1:7" ht="12.75">
      <c r="A26" s="408">
        <v>14</v>
      </c>
      <c r="B26" s="3">
        <v>39308</v>
      </c>
      <c r="C26" s="407" t="s">
        <v>400</v>
      </c>
      <c r="D26" s="409">
        <v>229.88</v>
      </c>
      <c r="E26" s="413">
        <v>2</v>
      </c>
      <c r="G26" s="480"/>
    </row>
    <row r="27" spans="1:5" ht="12.75">
      <c r="A27" s="408">
        <v>15</v>
      </c>
      <c r="B27" s="3">
        <v>39314</v>
      </c>
      <c r="C27" s="407" t="s">
        <v>382</v>
      </c>
      <c r="D27" s="409">
        <v>17.25</v>
      </c>
      <c r="E27" s="413">
        <v>7</v>
      </c>
    </row>
    <row r="28" spans="1:5" ht="12.75">
      <c r="A28" s="408">
        <v>16</v>
      </c>
      <c r="B28" s="3">
        <v>39314</v>
      </c>
      <c r="C28" s="407" t="s">
        <v>373</v>
      </c>
      <c r="D28" s="409">
        <v>7.5</v>
      </c>
      <c r="E28" s="413">
        <v>12</v>
      </c>
    </row>
    <row r="29" spans="1:5" ht="12.75">
      <c r="A29" s="408">
        <v>17</v>
      </c>
      <c r="B29" s="3">
        <v>39314</v>
      </c>
      <c r="C29" s="407" t="s">
        <v>383</v>
      </c>
      <c r="D29" s="409">
        <v>50</v>
      </c>
      <c r="E29" s="523">
        <v>12</v>
      </c>
    </row>
    <row r="30" spans="1:5" ht="12.75">
      <c r="A30" s="408">
        <v>18</v>
      </c>
      <c r="B30" s="3">
        <v>39318</v>
      </c>
      <c r="C30" s="550" t="s">
        <v>388</v>
      </c>
      <c r="D30" s="409">
        <v>23.28</v>
      </c>
      <c r="E30" s="523">
        <v>8</v>
      </c>
    </row>
    <row r="31" spans="1:5" ht="12.75">
      <c r="A31" s="408">
        <v>19</v>
      </c>
      <c r="B31" s="3">
        <v>39326</v>
      </c>
      <c r="C31" s="407" t="s">
        <v>391</v>
      </c>
      <c r="D31" s="409">
        <v>500</v>
      </c>
      <c r="E31" s="413">
        <v>1</v>
      </c>
    </row>
    <row r="32" spans="1:5" ht="12.75">
      <c r="A32" s="408">
        <v>20</v>
      </c>
      <c r="B32" s="3">
        <v>39328</v>
      </c>
      <c r="C32" s="407" t="s">
        <v>395</v>
      </c>
      <c r="D32" s="409">
        <v>2</v>
      </c>
      <c r="E32" s="523">
        <v>12</v>
      </c>
    </row>
    <row r="33" spans="1:5" ht="12.75">
      <c r="A33" s="408">
        <v>21</v>
      </c>
      <c r="B33" s="3">
        <v>39331</v>
      </c>
      <c r="C33" s="524" t="s">
        <v>396</v>
      </c>
      <c r="D33" s="409">
        <v>66</v>
      </c>
      <c r="E33" s="413">
        <v>6</v>
      </c>
    </row>
    <row r="34" spans="1:5" ht="12.75">
      <c r="A34" s="408">
        <v>22</v>
      </c>
      <c r="B34" s="3">
        <v>39335</v>
      </c>
      <c r="C34" s="407" t="s">
        <v>487</v>
      </c>
      <c r="D34" s="409">
        <v>500</v>
      </c>
      <c r="E34" s="523">
        <v>3</v>
      </c>
    </row>
    <row r="35" spans="1:5" ht="12.75">
      <c r="A35" s="408">
        <v>23</v>
      </c>
      <c r="B35" s="3">
        <v>39337</v>
      </c>
      <c r="C35" s="407" t="s">
        <v>399</v>
      </c>
      <c r="D35" s="409">
        <v>40</v>
      </c>
      <c r="E35" s="523">
        <v>12</v>
      </c>
    </row>
    <row r="36" spans="1:5" ht="12.75">
      <c r="A36" s="408">
        <v>24</v>
      </c>
      <c r="B36" s="3">
        <v>39337</v>
      </c>
      <c r="C36" s="407" t="s">
        <v>401</v>
      </c>
      <c r="D36" s="409">
        <v>229.88</v>
      </c>
      <c r="E36" s="413">
        <v>2</v>
      </c>
    </row>
    <row r="37" spans="1:5" ht="12.75">
      <c r="A37" s="408">
        <v>25</v>
      </c>
      <c r="B37" s="3">
        <v>39345</v>
      </c>
      <c r="C37" s="407" t="s">
        <v>404</v>
      </c>
      <c r="D37" s="409">
        <v>24.66</v>
      </c>
      <c r="E37" s="413">
        <v>7</v>
      </c>
    </row>
    <row r="38" spans="1:5" ht="12.75">
      <c r="A38" s="408">
        <v>26</v>
      </c>
      <c r="B38" s="3">
        <v>39351</v>
      </c>
      <c r="C38" s="550" t="s">
        <v>411</v>
      </c>
      <c r="D38" s="409">
        <v>21.82</v>
      </c>
      <c r="E38" s="523">
        <v>8</v>
      </c>
    </row>
    <row r="39" spans="1:5" ht="12.75">
      <c r="A39" s="408">
        <v>27</v>
      </c>
      <c r="B39" s="3">
        <v>39354</v>
      </c>
      <c r="C39" s="407" t="s">
        <v>416</v>
      </c>
      <c r="D39" s="409">
        <v>500</v>
      </c>
      <c r="E39" s="413">
        <v>1</v>
      </c>
    </row>
    <row r="40" spans="1:5" ht="12.75">
      <c r="A40" s="408">
        <v>28</v>
      </c>
      <c r="B40" s="3">
        <v>39361</v>
      </c>
      <c r="C40" s="524" t="s">
        <v>424</v>
      </c>
      <c r="D40" s="409">
        <v>66</v>
      </c>
      <c r="E40" s="413">
        <v>6</v>
      </c>
    </row>
    <row r="41" spans="1:5" ht="12.75">
      <c r="A41" s="408">
        <v>29</v>
      </c>
      <c r="B41" s="3">
        <v>39361</v>
      </c>
      <c r="C41" s="524" t="s">
        <v>425</v>
      </c>
      <c r="D41" s="409">
        <v>135</v>
      </c>
      <c r="E41" s="523">
        <v>10</v>
      </c>
    </row>
    <row r="42" spans="1:5" ht="12.75">
      <c r="A42" s="408">
        <v>30</v>
      </c>
      <c r="B42" s="3">
        <v>39362</v>
      </c>
      <c r="C42" s="407" t="s">
        <v>426</v>
      </c>
      <c r="D42" s="409">
        <v>5.5</v>
      </c>
      <c r="E42" s="523">
        <v>9</v>
      </c>
    </row>
    <row r="43" spans="1:5" ht="12.75">
      <c r="A43" s="408">
        <v>31</v>
      </c>
      <c r="B43" s="3">
        <v>39364</v>
      </c>
      <c r="C43" s="407" t="s">
        <v>432</v>
      </c>
      <c r="D43" s="409">
        <v>229.88</v>
      </c>
      <c r="E43" s="413">
        <v>2</v>
      </c>
    </row>
    <row r="44" spans="1:5" ht="12.75">
      <c r="A44" s="408">
        <v>32</v>
      </c>
      <c r="B44" s="3">
        <v>39365</v>
      </c>
      <c r="C44" s="407" t="s">
        <v>147</v>
      </c>
      <c r="D44" s="409">
        <v>20</v>
      </c>
      <c r="E44" s="523">
        <v>13</v>
      </c>
    </row>
    <row r="45" spans="1:5" ht="12.75">
      <c r="A45" s="408">
        <v>33</v>
      </c>
      <c r="B45" s="3">
        <v>39366</v>
      </c>
      <c r="C45" s="407" t="s">
        <v>433</v>
      </c>
      <c r="D45" s="409">
        <v>4</v>
      </c>
      <c r="E45" s="523">
        <v>9</v>
      </c>
    </row>
    <row r="46" spans="1:5" ht="12.75">
      <c r="A46" s="408">
        <v>34</v>
      </c>
      <c r="B46" s="3">
        <v>39373</v>
      </c>
      <c r="C46" s="407" t="s">
        <v>438</v>
      </c>
      <c r="D46" s="409">
        <v>4</v>
      </c>
      <c r="E46" s="523">
        <v>12</v>
      </c>
    </row>
    <row r="47" spans="1:5" ht="12.75">
      <c r="A47" s="408">
        <v>35</v>
      </c>
      <c r="B47" s="3">
        <v>39374</v>
      </c>
      <c r="C47" s="407" t="s">
        <v>439</v>
      </c>
      <c r="D47" s="409">
        <v>26.57</v>
      </c>
      <c r="E47" s="413">
        <v>7</v>
      </c>
    </row>
    <row r="48" spans="1:5" ht="12.75">
      <c r="A48" s="408">
        <v>36</v>
      </c>
      <c r="B48" s="3">
        <v>39377</v>
      </c>
      <c r="C48" s="524" t="s">
        <v>440</v>
      </c>
      <c r="D48" s="409">
        <v>260</v>
      </c>
      <c r="E48" s="523">
        <v>10</v>
      </c>
    </row>
    <row r="49" spans="1:5" ht="12.75">
      <c r="A49" s="408">
        <v>37</v>
      </c>
      <c r="B49" s="3">
        <v>39380</v>
      </c>
      <c r="C49" s="524" t="s">
        <v>442</v>
      </c>
      <c r="D49" s="409">
        <v>800</v>
      </c>
      <c r="E49" s="523">
        <v>9</v>
      </c>
    </row>
    <row r="50" spans="1:5" ht="12.75">
      <c r="A50" s="408">
        <v>38</v>
      </c>
      <c r="B50" s="3">
        <v>39380</v>
      </c>
      <c r="C50" s="524" t="s">
        <v>443</v>
      </c>
      <c r="D50" s="409">
        <v>1700</v>
      </c>
      <c r="E50" s="523">
        <v>12</v>
      </c>
    </row>
    <row r="51" spans="1:5" ht="12.75">
      <c r="A51" s="408">
        <v>39</v>
      </c>
      <c r="B51" s="3">
        <v>39380</v>
      </c>
      <c r="C51" s="541" t="s">
        <v>444</v>
      </c>
      <c r="D51" s="409">
        <v>1</v>
      </c>
      <c r="E51" s="523">
        <v>16</v>
      </c>
    </row>
    <row r="52" spans="1:5" ht="12.75">
      <c r="A52" s="408">
        <v>40</v>
      </c>
      <c r="B52" s="3">
        <v>39386</v>
      </c>
      <c r="C52" s="407" t="s">
        <v>476</v>
      </c>
      <c r="D52" s="409">
        <v>500</v>
      </c>
      <c r="E52" s="413">
        <v>1</v>
      </c>
    </row>
    <row r="53" spans="1:5" ht="12.75">
      <c r="A53" s="408">
        <v>41</v>
      </c>
      <c r="B53" s="3">
        <v>39389</v>
      </c>
      <c r="C53" s="524" t="s">
        <v>449</v>
      </c>
      <c r="D53" s="409">
        <v>66</v>
      </c>
      <c r="E53" s="413">
        <v>6</v>
      </c>
    </row>
    <row r="54" spans="1:5" ht="12.75">
      <c r="A54" s="408">
        <v>42</v>
      </c>
      <c r="B54" s="3">
        <v>39398</v>
      </c>
      <c r="C54" s="524" t="s">
        <v>457</v>
      </c>
      <c r="D54" s="409">
        <v>4000</v>
      </c>
      <c r="E54" s="523">
        <v>5</v>
      </c>
    </row>
    <row r="55" spans="1:5" ht="12.75">
      <c r="A55" s="408">
        <v>43</v>
      </c>
      <c r="B55" s="3">
        <v>39398</v>
      </c>
      <c r="C55" s="541" t="s">
        <v>458</v>
      </c>
      <c r="D55" s="409">
        <v>1</v>
      </c>
      <c r="E55" s="523">
        <v>14</v>
      </c>
    </row>
    <row r="56" spans="1:5" ht="12.75">
      <c r="A56" s="408">
        <v>44</v>
      </c>
      <c r="B56" s="3">
        <v>39400</v>
      </c>
      <c r="C56" s="407" t="s">
        <v>459</v>
      </c>
      <c r="D56" s="409">
        <v>229.88</v>
      </c>
      <c r="E56" s="413">
        <v>2</v>
      </c>
    </row>
    <row r="57" spans="1:5" ht="12.75">
      <c r="A57" s="408">
        <v>45</v>
      </c>
      <c r="B57" s="3">
        <v>39406</v>
      </c>
      <c r="C57" s="407" t="s">
        <v>465</v>
      </c>
      <c r="D57" s="409">
        <v>29.74</v>
      </c>
      <c r="E57" s="413">
        <v>7</v>
      </c>
    </row>
    <row r="58" spans="1:5" ht="12.75">
      <c r="A58" s="408">
        <v>46</v>
      </c>
      <c r="B58" s="3">
        <v>39413</v>
      </c>
      <c r="C58" s="550" t="s">
        <v>471</v>
      </c>
      <c r="D58" s="409">
        <v>36.52</v>
      </c>
      <c r="E58" s="523">
        <v>8</v>
      </c>
    </row>
    <row r="59" spans="1:5" ht="12.75">
      <c r="A59" s="408">
        <v>47</v>
      </c>
      <c r="B59" s="3">
        <v>39420</v>
      </c>
      <c r="C59" s="407" t="s">
        <v>497</v>
      </c>
      <c r="D59" s="409">
        <v>500</v>
      </c>
      <c r="E59" s="413">
        <v>1</v>
      </c>
    </row>
    <row r="60" spans="1:5" ht="12.75">
      <c r="A60" s="408">
        <v>48</v>
      </c>
      <c r="B60" s="3">
        <v>39420</v>
      </c>
      <c r="C60" s="407" t="s">
        <v>477</v>
      </c>
      <c r="D60" s="409">
        <v>80</v>
      </c>
      <c r="E60" s="523">
        <v>5</v>
      </c>
    </row>
    <row r="61" spans="1:5" ht="12.75">
      <c r="A61" s="408">
        <v>49</v>
      </c>
      <c r="B61" s="3">
        <v>39420</v>
      </c>
      <c r="C61" s="407" t="s">
        <v>478</v>
      </c>
      <c r="D61" s="409">
        <v>60</v>
      </c>
      <c r="E61" s="523">
        <v>4</v>
      </c>
    </row>
    <row r="62" spans="1:5" ht="12.75">
      <c r="A62" s="408">
        <v>50</v>
      </c>
      <c r="B62" s="3">
        <v>39423</v>
      </c>
      <c r="C62" s="524" t="s">
        <v>481</v>
      </c>
      <c r="D62" s="409">
        <v>207.6</v>
      </c>
      <c r="E62" s="523">
        <v>6</v>
      </c>
    </row>
    <row r="63" spans="1:5" ht="12.75">
      <c r="A63" s="408">
        <v>51</v>
      </c>
      <c r="B63" s="3">
        <v>39429</v>
      </c>
      <c r="C63" s="407" t="s">
        <v>486</v>
      </c>
      <c r="D63" s="409">
        <v>500</v>
      </c>
      <c r="E63" s="523">
        <v>3</v>
      </c>
    </row>
    <row r="64" spans="1:5" ht="12.75">
      <c r="A64" s="408">
        <v>52</v>
      </c>
      <c r="B64" s="3">
        <v>39433</v>
      </c>
      <c r="C64" s="407" t="s">
        <v>488</v>
      </c>
      <c r="D64" s="409">
        <v>229.88</v>
      </c>
      <c r="E64" s="413">
        <v>2</v>
      </c>
    </row>
    <row r="65" spans="1:5" ht="12.75">
      <c r="A65" s="408">
        <v>53</v>
      </c>
      <c r="B65" s="3">
        <v>39440</v>
      </c>
      <c r="C65" s="407" t="s">
        <v>490</v>
      </c>
      <c r="D65" s="409">
        <v>46.95</v>
      </c>
      <c r="E65" s="413">
        <v>7</v>
      </c>
    </row>
    <row r="66" spans="1:5" ht="12.75">
      <c r="A66" s="408">
        <v>54</v>
      </c>
      <c r="B66" s="3">
        <v>39443</v>
      </c>
      <c r="C66" s="407" t="s">
        <v>496</v>
      </c>
      <c r="D66" s="409">
        <v>500</v>
      </c>
      <c r="E66" s="413">
        <v>1</v>
      </c>
    </row>
    <row r="67" spans="1:5" ht="12.75">
      <c r="A67" s="408">
        <v>55</v>
      </c>
      <c r="B67" s="3">
        <v>39443</v>
      </c>
      <c r="C67" s="407" t="s">
        <v>498</v>
      </c>
      <c r="D67" s="409">
        <v>60</v>
      </c>
      <c r="E67" s="523">
        <v>4</v>
      </c>
    </row>
    <row r="68" spans="1:5" ht="12.75">
      <c r="A68" s="408">
        <v>56</v>
      </c>
      <c r="B68" s="3">
        <v>39445</v>
      </c>
      <c r="C68" s="550" t="s">
        <v>495</v>
      </c>
      <c r="D68" s="409">
        <v>23.99</v>
      </c>
      <c r="E68" s="523">
        <v>8</v>
      </c>
    </row>
    <row r="69" spans="1:5" ht="12.75">
      <c r="A69" s="408">
        <v>57</v>
      </c>
      <c r="B69" s="3">
        <v>39455</v>
      </c>
      <c r="C69" s="524" t="s">
        <v>505</v>
      </c>
      <c r="D69" s="409">
        <v>66</v>
      </c>
      <c r="E69" s="523">
        <v>6</v>
      </c>
    </row>
    <row r="70" spans="1:5" ht="12.75">
      <c r="A70" s="408">
        <v>58</v>
      </c>
      <c r="B70" s="3">
        <v>39458</v>
      </c>
      <c r="C70" s="524" t="s">
        <v>508</v>
      </c>
      <c r="D70" s="409">
        <v>800</v>
      </c>
      <c r="E70" s="523">
        <v>10</v>
      </c>
    </row>
    <row r="71" spans="1:5" ht="12.75">
      <c r="A71" s="408">
        <v>59</v>
      </c>
      <c r="B71" s="3">
        <v>39458</v>
      </c>
      <c r="C71" s="407" t="s">
        <v>433</v>
      </c>
      <c r="D71" s="409">
        <v>2.5</v>
      </c>
      <c r="E71" s="523">
        <v>9</v>
      </c>
    </row>
    <row r="72" spans="1:5" ht="12.75">
      <c r="A72" s="408">
        <v>60</v>
      </c>
      <c r="B72" s="3">
        <v>39458</v>
      </c>
      <c r="C72" s="407" t="s">
        <v>509</v>
      </c>
      <c r="D72" s="409">
        <v>7.5</v>
      </c>
      <c r="E72" s="523">
        <v>10</v>
      </c>
    </row>
    <row r="73" spans="1:5" ht="12.75">
      <c r="A73" s="408">
        <v>61</v>
      </c>
      <c r="B73" s="3">
        <v>39462</v>
      </c>
      <c r="C73" s="407" t="s">
        <v>510</v>
      </c>
      <c r="D73" s="409">
        <v>229.88</v>
      </c>
      <c r="E73" s="413">
        <v>2</v>
      </c>
    </row>
    <row r="74" spans="1:5" ht="12.75">
      <c r="A74" s="408">
        <v>62</v>
      </c>
      <c r="B74" s="3">
        <v>39470</v>
      </c>
      <c r="C74" s="407" t="s">
        <v>512</v>
      </c>
      <c r="D74" s="409">
        <v>61.87</v>
      </c>
      <c r="E74" s="413">
        <v>7</v>
      </c>
    </row>
    <row r="75" spans="1:5" ht="12.75">
      <c r="A75" s="408">
        <v>63</v>
      </c>
      <c r="B75" s="3">
        <v>39473</v>
      </c>
      <c r="C75" s="550" t="s">
        <v>519</v>
      </c>
      <c r="D75" s="409">
        <v>4.18</v>
      </c>
      <c r="E75" s="523">
        <v>8</v>
      </c>
    </row>
    <row r="76" spans="1:5" ht="12.75">
      <c r="A76" s="408">
        <v>64</v>
      </c>
      <c r="B76" s="3">
        <v>39478</v>
      </c>
      <c r="C76" s="407" t="s">
        <v>555</v>
      </c>
      <c r="D76" s="409">
        <v>518</v>
      </c>
      <c r="E76" s="413">
        <v>1</v>
      </c>
    </row>
    <row r="77" spans="1:5" ht="12.75">
      <c r="A77" s="408">
        <v>65</v>
      </c>
      <c r="B77" s="3">
        <v>39478</v>
      </c>
      <c r="C77" s="407" t="s">
        <v>498</v>
      </c>
      <c r="D77" s="409">
        <v>60</v>
      </c>
      <c r="E77" s="523">
        <v>4</v>
      </c>
    </row>
    <row r="78" spans="1:5" ht="12.75">
      <c r="A78" s="408">
        <v>66</v>
      </c>
      <c r="B78" s="3">
        <v>39482</v>
      </c>
      <c r="C78" s="407" t="s">
        <v>521</v>
      </c>
      <c r="D78" s="409">
        <v>20</v>
      </c>
      <c r="E78" s="523">
        <v>5</v>
      </c>
    </row>
    <row r="79" spans="1:5" ht="12.75">
      <c r="A79" s="408">
        <v>67</v>
      </c>
      <c r="B79" s="3">
        <v>39482</v>
      </c>
      <c r="C79" s="524" t="s">
        <v>558</v>
      </c>
      <c r="D79" s="409">
        <v>72</v>
      </c>
      <c r="E79" s="523">
        <v>6</v>
      </c>
    </row>
    <row r="80" spans="1:5" ht="12.75">
      <c r="A80" s="408">
        <v>68</v>
      </c>
      <c r="B80" s="3">
        <v>39483</v>
      </c>
      <c r="C80" s="524" t="s">
        <v>542</v>
      </c>
      <c r="D80" s="409">
        <v>1000</v>
      </c>
      <c r="E80" s="523">
        <v>5</v>
      </c>
    </row>
    <row r="81" spans="1:5" ht="12.75">
      <c r="A81" s="408">
        <v>69</v>
      </c>
      <c r="B81" s="3">
        <v>39483</v>
      </c>
      <c r="C81" s="541" t="s">
        <v>458</v>
      </c>
      <c r="D81" s="409">
        <v>1</v>
      </c>
      <c r="E81" s="523">
        <v>14</v>
      </c>
    </row>
    <row r="82" spans="1:5" ht="12.75">
      <c r="A82" s="408">
        <v>70</v>
      </c>
      <c r="B82" s="3">
        <v>39487</v>
      </c>
      <c r="C82" t="s">
        <v>526</v>
      </c>
      <c r="D82" s="409">
        <v>5.5</v>
      </c>
      <c r="E82" s="523">
        <v>9</v>
      </c>
    </row>
    <row r="83" spans="1:5" ht="12.75">
      <c r="A83" s="408">
        <v>71</v>
      </c>
      <c r="B83" s="3">
        <v>39489</v>
      </c>
      <c r="C83" t="s">
        <v>527</v>
      </c>
      <c r="D83" s="409">
        <v>66.81</v>
      </c>
      <c r="E83" s="523">
        <v>14</v>
      </c>
    </row>
    <row r="84" spans="1:5" ht="12.75">
      <c r="A84" s="408">
        <v>72</v>
      </c>
      <c r="B84" s="3">
        <v>39489</v>
      </c>
      <c r="C84" t="s">
        <v>528</v>
      </c>
      <c r="D84" s="409">
        <v>66.81</v>
      </c>
      <c r="E84" s="523">
        <v>14</v>
      </c>
    </row>
    <row r="85" spans="1:5" ht="12.75">
      <c r="A85" s="408">
        <v>73</v>
      </c>
      <c r="B85" s="3">
        <v>39490</v>
      </c>
      <c r="C85" s="407" t="s">
        <v>530</v>
      </c>
      <c r="D85" s="409">
        <v>239.34</v>
      </c>
      <c r="E85" s="413">
        <v>2</v>
      </c>
    </row>
    <row r="86" spans="1:5" ht="12.75">
      <c r="A86" s="408">
        <v>74</v>
      </c>
      <c r="B86" s="3">
        <v>39499</v>
      </c>
      <c r="C86" s="407" t="s">
        <v>531</v>
      </c>
      <c r="D86" s="409">
        <v>70.29</v>
      </c>
      <c r="E86" s="413">
        <v>7</v>
      </c>
    </row>
    <row r="87" spans="1:5" ht="12.75">
      <c r="A87" s="408">
        <v>75</v>
      </c>
      <c r="B87" s="3">
        <v>39503</v>
      </c>
      <c r="C87" s="524" t="s">
        <v>543</v>
      </c>
      <c r="D87" s="409">
        <v>1200</v>
      </c>
      <c r="E87" s="523">
        <v>5</v>
      </c>
    </row>
    <row r="88" spans="1:5" ht="12.75">
      <c r="A88" s="408">
        <v>76</v>
      </c>
      <c r="B88" s="3">
        <v>39503</v>
      </c>
      <c r="C88" s="541" t="s">
        <v>458</v>
      </c>
      <c r="D88" s="409">
        <v>1</v>
      </c>
      <c r="E88" s="523">
        <v>14</v>
      </c>
    </row>
    <row r="89" spans="1:5" ht="12.75">
      <c r="A89" s="408">
        <v>77</v>
      </c>
      <c r="B89" s="3">
        <v>39505</v>
      </c>
      <c r="C89" s="553" t="s">
        <v>590</v>
      </c>
      <c r="D89" s="409">
        <v>4.87</v>
      </c>
      <c r="E89" s="523">
        <v>8</v>
      </c>
    </row>
    <row r="90" spans="1:5" ht="12.75">
      <c r="A90" s="408">
        <v>78</v>
      </c>
      <c r="B90" s="3">
        <v>39506</v>
      </c>
      <c r="C90" s="552" t="s">
        <v>535</v>
      </c>
      <c r="D90" s="409">
        <v>35</v>
      </c>
      <c r="E90" s="523">
        <v>12</v>
      </c>
    </row>
    <row r="91" spans="1:5" ht="12.75">
      <c r="A91" s="408">
        <v>79</v>
      </c>
      <c r="B91" s="3">
        <v>39507</v>
      </c>
      <c r="C91" s="552" t="s">
        <v>536</v>
      </c>
      <c r="D91" s="409">
        <v>50</v>
      </c>
      <c r="E91" s="523">
        <v>12</v>
      </c>
    </row>
    <row r="92" spans="1:5" ht="12.75">
      <c r="A92" s="408">
        <v>80</v>
      </c>
      <c r="B92" s="3">
        <v>39507</v>
      </c>
      <c r="C92" s="524" t="s">
        <v>544</v>
      </c>
      <c r="D92" s="409">
        <v>1160</v>
      </c>
      <c r="E92" s="523">
        <v>5</v>
      </c>
    </row>
    <row r="93" spans="1:5" ht="12.75">
      <c r="A93" s="408">
        <v>81</v>
      </c>
      <c r="B93" s="3">
        <v>39507</v>
      </c>
      <c r="C93" s="541" t="s">
        <v>458</v>
      </c>
      <c r="D93" s="409">
        <v>1</v>
      </c>
      <c r="E93" s="523">
        <v>14</v>
      </c>
    </row>
    <row r="94" spans="1:5" ht="12.75">
      <c r="A94" s="408">
        <v>82</v>
      </c>
      <c r="B94" s="3">
        <v>39507</v>
      </c>
      <c r="C94" s="541" t="s">
        <v>545</v>
      </c>
      <c r="D94" s="409">
        <v>65</v>
      </c>
      <c r="E94" s="523">
        <v>5</v>
      </c>
    </row>
    <row r="95" spans="1:5" ht="12.75">
      <c r="A95" s="408">
        <v>83</v>
      </c>
      <c r="B95" s="3">
        <v>39507</v>
      </c>
      <c r="C95" s="541" t="s">
        <v>546</v>
      </c>
      <c r="D95" s="409">
        <v>25</v>
      </c>
      <c r="E95" s="523">
        <v>14</v>
      </c>
    </row>
    <row r="96" spans="1:5" ht="12.75">
      <c r="A96" s="408">
        <v>84</v>
      </c>
      <c r="B96" s="3">
        <v>39507</v>
      </c>
      <c r="C96" s="541" t="s">
        <v>547</v>
      </c>
      <c r="D96" s="409">
        <v>60</v>
      </c>
      <c r="E96" s="523">
        <v>4</v>
      </c>
    </row>
    <row r="97" spans="1:5" ht="12.75">
      <c r="A97" s="408">
        <v>85</v>
      </c>
      <c r="B97" s="3">
        <v>39510</v>
      </c>
      <c r="C97" s="541" t="s">
        <v>548</v>
      </c>
      <c r="D97" s="409">
        <v>48</v>
      </c>
      <c r="E97" s="523">
        <v>10</v>
      </c>
    </row>
    <row r="98" spans="1:5" ht="12.75">
      <c r="A98" s="408">
        <v>86</v>
      </c>
      <c r="B98" s="3">
        <v>39510</v>
      </c>
      <c r="C98" s="541" t="s">
        <v>549</v>
      </c>
      <c r="D98" s="409">
        <v>1.5</v>
      </c>
      <c r="E98" s="523">
        <v>10</v>
      </c>
    </row>
    <row r="99" spans="1:5" ht="12.75">
      <c r="A99" s="408">
        <v>87</v>
      </c>
      <c r="B99" s="3">
        <v>39511</v>
      </c>
      <c r="C99" s="524" t="s">
        <v>556</v>
      </c>
      <c r="D99" s="409">
        <v>50</v>
      </c>
      <c r="E99" s="523">
        <v>10</v>
      </c>
    </row>
    <row r="100" spans="1:5" ht="12.75">
      <c r="A100" s="408">
        <v>88</v>
      </c>
      <c r="B100" s="3">
        <v>39511</v>
      </c>
      <c r="C100" s="407" t="s">
        <v>554</v>
      </c>
      <c r="D100" s="409">
        <v>518</v>
      </c>
      <c r="E100" s="413">
        <v>1</v>
      </c>
    </row>
    <row r="101" spans="1:5" ht="12.75">
      <c r="A101" s="408">
        <v>89</v>
      </c>
      <c r="B101" s="3">
        <v>39512</v>
      </c>
      <c r="C101" s="524" t="s">
        <v>557</v>
      </c>
      <c r="D101" s="409">
        <v>72</v>
      </c>
      <c r="E101" s="523">
        <v>6</v>
      </c>
    </row>
    <row r="102" spans="1:5" ht="12.75">
      <c r="A102" s="408">
        <v>90</v>
      </c>
      <c r="B102" s="3">
        <v>39518</v>
      </c>
      <c r="C102" s="407" t="s">
        <v>561</v>
      </c>
      <c r="D102" s="409">
        <v>239.34</v>
      </c>
      <c r="E102" s="413">
        <v>2</v>
      </c>
    </row>
    <row r="103" spans="1:5" ht="12.75">
      <c r="A103" s="408">
        <v>91</v>
      </c>
      <c r="B103" s="3">
        <v>39518</v>
      </c>
      <c r="C103" s="541" t="s">
        <v>562</v>
      </c>
      <c r="D103" s="409">
        <v>35</v>
      </c>
      <c r="E103" s="523">
        <v>12</v>
      </c>
    </row>
    <row r="104" spans="1:5" ht="12.75">
      <c r="A104" s="408">
        <v>92</v>
      </c>
      <c r="B104" s="3">
        <v>39518</v>
      </c>
      <c r="C104" s="407" t="s">
        <v>563</v>
      </c>
      <c r="D104" s="409">
        <v>40</v>
      </c>
      <c r="E104" s="523">
        <v>12</v>
      </c>
    </row>
    <row r="105" spans="1:5" ht="12.75">
      <c r="A105" s="408">
        <v>93</v>
      </c>
      <c r="B105" s="3">
        <v>39527</v>
      </c>
      <c r="C105" s="407" t="s">
        <v>571</v>
      </c>
      <c r="D105" s="409">
        <v>67.67</v>
      </c>
      <c r="E105" s="413">
        <v>7</v>
      </c>
    </row>
    <row r="106" spans="1:5" ht="12.75">
      <c r="A106" s="408">
        <v>94</v>
      </c>
      <c r="B106" s="3">
        <v>39529</v>
      </c>
      <c r="C106" s="553" t="s">
        <v>592</v>
      </c>
      <c r="D106" s="409">
        <v>14.69</v>
      </c>
      <c r="E106" s="413">
        <v>8</v>
      </c>
    </row>
    <row r="107" spans="1:5" ht="12.75">
      <c r="A107" s="408">
        <v>95</v>
      </c>
      <c r="B107" s="3">
        <v>39538</v>
      </c>
      <c r="C107" s="407" t="s">
        <v>574</v>
      </c>
      <c r="D107" s="409">
        <v>518</v>
      </c>
      <c r="E107" s="413">
        <v>1</v>
      </c>
    </row>
    <row r="108" spans="1:5" ht="12.75">
      <c r="A108" s="408">
        <v>96</v>
      </c>
      <c r="B108" s="3">
        <v>39538</v>
      </c>
      <c r="C108" s="541" t="s">
        <v>575</v>
      </c>
      <c r="D108" s="409">
        <v>60</v>
      </c>
      <c r="E108" s="523">
        <v>4</v>
      </c>
    </row>
    <row r="109" spans="1:5" ht="12.75">
      <c r="A109" s="408">
        <v>97</v>
      </c>
      <c r="B109" s="3">
        <v>39542</v>
      </c>
      <c r="C109" s="524" t="s">
        <v>584</v>
      </c>
      <c r="D109" s="409">
        <v>72</v>
      </c>
      <c r="E109" s="523">
        <v>6</v>
      </c>
    </row>
    <row r="110" spans="1:5" ht="12.75">
      <c r="A110" s="408">
        <v>98</v>
      </c>
      <c r="B110" s="3">
        <v>39552</v>
      </c>
      <c r="C110" s="407" t="s">
        <v>585</v>
      </c>
      <c r="D110" s="409">
        <v>239.34</v>
      </c>
      <c r="E110" s="413">
        <v>2</v>
      </c>
    </row>
    <row r="111" spans="1:5" ht="12.75">
      <c r="A111" s="408">
        <v>99</v>
      </c>
      <c r="B111" s="3">
        <v>39556</v>
      </c>
      <c r="C111" s="407" t="s">
        <v>521</v>
      </c>
      <c r="D111" s="409">
        <v>20</v>
      </c>
      <c r="E111" s="523">
        <v>5</v>
      </c>
    </row>
    <row r="112" spans="1:5" ht="12.75">
      <c r="A112" s="408">
        <v>100</v>
      </c>
      <c r="B112" s="3">
        <v>39560</v>
      </c>
      <c r="C112" s="407" t="s">
        <v>593</v>
      </c>
      <c r="D112" s="409">
        <v>49.34</v>
      </c>
      <c r="E112" s="413">
        <v>7</v>
      </c>
    </row>
    <row r="113" spans="1:5" ht="12.75">
      <c r="A113" s="408">
        <v>101</v>
      </c>
      <c r="B113" s="3">
        <v>39562</v>
      </c>
      <c r="C113" s="553" t="s">
        <v>591</v>
      </c>
      <c r="D113" s="409">
        <v>22.56</v>
      </c>
      <c r="E113" s="523">
        <v>8</v>
      </c>
    </row>
    <row r="114" spans="1:5" ht="12.75">
      <c r="A114" s="408">
        <v>102</v>
      </c>
      <c r="B114" s="3">
        <v>39568</v>
      </c>
      <c r="C114" s="407" t="s">
        <v>597</v>
      </c>
      <c r="D114" s="409">
        <v>520</v>
      </c>
      <c r="E114" s="413">
        <v>1</v>
      </c>
    </row>
    <row r="115" spans="1:5" ht="12.75">
      <c r="A115" s="408">
        <v>103</v>
      </c>
      <c r="B115" s="3">
        <v>39568</v>
      </c>
      <c r="C115" s="541" t="s">
        <v>598</v>
      </c>
      <c r="D115" s="409">
        <v>60</v>
      </c>
      <c r="E115" s="523">
        <v>4</v>
      </c>
    </row>
    <row r="116" spans="1:5" ht="12.75">
      <c r="A116" s="408">
        <v>104</v>
      </c>
      <c r="B116" s="3">
        <v>39571</v>
      </c>
      <c r="C116" s="524" t="s">
        <v>604</v>
      </c>
      <c r="D116" s="409">
        <v>72</v>
      </c>
      <c r="E116" s="523">
        <v>6</v>
      </c>
    </row>
    <row r="117" spans="1:5" ht="12.75">
      <c r="A117" s="408">
        <v>105</v>
      </c>
      <c r="B117" s="3">
        <v>39576</v>
      </c>
      <c r="C117" s="541" t="s">
        <v>611</v>
      </c>
      <c r="D117" s="409">
        <v>800</v>
      </c>
      <c r="E117" s="523">
        <v>9</v>
      </c>
    </row>
    <row r="118" spans="1:5" ht="12.75">
      <c r="A118" s="408">
        <v>106</v>
      </c>
      <c r="B118" s="3">
        <v>39580</v>
      </c>
      <c r="C118" t="s">
        <v>613</v>
      </c>
      <c r="D118" s="409">
        <v>76.18</v>
      </c>
      <c r="E118" s="523">
        <v>14</v>
      </c>
    </row>
    <row r="119" spans="1:5" ht="12.75">
      <c r="A119" s="408">
        <v>107</v>
      </c>
      <c r="B119" s="3">
        <v>39581</v>
      </c>
      <c r="C119" s="407" t="s">
        <v>614</v>
      </c>
      <c r="D119" s="409">
        <v>239.34</v>
      </c>
      <c r="E119" s="413">
        <v>2</v>
      </c>
    </row>
    <row r="120" spans="1:5" ht="12.75">
      <c r="A120" s="408">
        <v>108</v>
      </c>
      <c r="B120" s="3">
        <v>39584</v>
      </c>
      <c r="C120" s="541" t="s">
        <v>616</v>
      </c>
      <c r="D120" s="409">
        <v>306.84</v>
      </c>
      <c r="E120" s="523">
        <v>9</v>
      </c>
    </row>
    <row r="121" spans="1:5" ht="12.75">
      <c r="A121" s="408">
        <v>109</v>
      </c>
      <c r="B121" s="3">
        <v>39590</v>
      </c>
      <c r="C121" s="407" t="s">
        <v>619</v>
      </c>
      <c r="D121" s="409">
        <v>34.21</v>
      </c>
      <c r="E121" s="413">
        <v>7</v>
      </c>
    </row>
    <row r="122" spans="1:5" ht="12.75">
      <c r="A122" s="408">
        <v>110</v>
      </c>
      <c r="B122" s="3">
        <v>39595</v>
      </c>
      <c r="C122" s="407" t="s">
        <v>563</v>
      </c>
      <c r="D122" s="409">
        <v>40</v>
      </c>
      <c r="E122" s="523">
        <v>12</v>
      </c>
    </row>
    <row r="123" spans="1:5" ht="12.75">
      <c r="A123" s="408">
        <v>111</v>
      </c>
      <c r="B123" s="3">
        <v>39596</v>
      </c>
      <c r="C123" s="553" t="s">
        <v>622</v>
      </c>
      <c r="D123" s="409">
        <v>25.32</v>
      </c>
      <c r="E123" s="523">
        <v>8</v>
      </c>
    </row>
    <row r="124" spans="1:5" ht="12.75">
      <c r="A124" s="408">
        <v>112</v>
      </c>
      <c r="B124" s="3">
        <v>39598</v>
      </c>
      <c r="C124" s="407" t="s">
        <v>624</v>
      </c>
      <c r="D124" s="409">
        <v>520</v>
      </c>
      <c r="E124" s="413">
        <v>1</v>
      </c>
    </row>
    <row r="125" spans="1:5" ht="12.75">
      <c r="A125" s="408">
        <v>113</v>
      </c>
      <c r="B125" s="3"/>
      <c r="C125"/>
      <c r="D125"/>
      <c r="E125" s="523"/>
    </row>
    <row r="126" spans="1:5" ht="12.75">
      <c r="A126" s="408">
        <v>114</v>
      </c>
      <c r="B126" s="3"/>
      <c r="C126"/>
      <c r="D126"/>
      <c r="E126" s="523"/>
    </row>
    <row r="127" spans="1:5" ht="12.75">
      <c r="A127" s="408">
        <v>115</v>
      </c>
      <c r="B127" s="3"/>
      <c r="C127"/>
      <c r="D127"/>
      <c r="E127" s="523"/>
    </row>
    <row r="128" spans="1:5" ht="12.75">
      <c r="A128" s="408">
        <v>116</v>
      </c>
      <c r="B128" s="3"/>
      <c r="C128"/>
      <c r="D128"/>
      <c r="E128" s="523"/>
    </row>
    <row r="129" spans="1:5" ht="12.75">
      <c r="A129" s="408">
        <v>117</v>
      </c>
      <c r="B129" s="3"/>
      <c r="C129"/>
      <c r="D129"/>
      <c r="E129" s="523"/>
    </row>
    <row r="130" spans="1:5" ht="12.75">
      <c r="A130" s="408">
        <v>118</v>
      </c>
      <c r="B130" s="3"/>
      <c r="C130"/>
      <c r="D130"/>
      <c r="E130" s="523"/>
    </row>
    <row r="131" spans="1:5" ht="12.75">
      <c r="A131" s="408">
        <v>119</v>
      </c>
      <c r="B131" s="3"/>
      <c r="C131"/>
      <c r="D131"/>
      <c r="E131" s="523"/>
    </row>
    <row r="132" spans="1:5" ht="12.75">
      <c r="A132" s="408">
        <v>120</v>
      </c>
      <c r="B132" s="3"/>
      <c r="C132"/>
      <c r="D132"/>
      <c r="E132" s="523"/>
    </row>
    <row r="133" spans="1:5" ht="12.75">
      <c r="A133" s="408">
        <v>121</v>
      </c>
      <c r="B133" s="3"/>
      <c r="C133"/>
      <c r="D133"/>
      <c r="E133" s="523"/>
    </row>
    <row r="134" spans="1:5" ht="12.75">
      <c r="A134" s="408">
        <v>122</v>
      </c>
      <c r="B134" s="3"/>
      <c r="C134"/>
      <c r="D134"/>
      <c r="E134" s="523"/>
    </row>
    <row r="135" spans="1:5" ht="12.75">
      <c r="A135" s="408">
        <v>123</v>
      </c>
      <c r="B135" s="3"/>
      <c r="C135"/>
      <c r="D135"/>
      <c r="E135" s="523"/>
    </row>
    <row r="136" spans="1:5" ht="12.75">
      <c r="A136" s="408">
        <v>124</v>
      </c>
      <c r="B136" s="3"/>
      <c r="C136"/>
      <c r="D136"/>
      <c r="E136" s="523"/>
    </row>
    <row r="137" spans="1:5" ht="12.75">
      <c r="A137" s="408">
        <v>125</v>
      </c>
      <c r="B137" s="3"/>
      <c r="C137"/>
      <c r="D137"/>
      <c r="E137" s="523"/>
    </row>
    <row r="138" spans="1:5" ht="12.75">
      <c r="A138" s="408">
        <v>126</v>
      </c>
      <c r="B138" s="3"/>
      <c r="C138"/>
      <c r="D138"/>
      <c r="E138" s="523"/>
    </row>
    <row r="139" spans="1:5" ht="12.75">
      <c r="A139" s="408">
        <v>127</v>
      </c>
      <c r="B139" s="3"/>
      <c r="C139"/>
      <c r="D139"/>
      <c r="E139" s="523"/>
    </row>
    <row r="140" spans="1:5" ht="12.75">
      <c r="A140" s="408">
        <v>128</v>
      </c>
      <c r="B140" s="3"/>
      <c r="C140"/>
      <c r="D140"/>
      <c r="E140" s="523"/>
    </row>
    <row r="141" spans="1:5" ht="12.75">
      <c r="A141" s="408">
        <v>129</v>
      </c>
      <c r="B141" s="3"/>
      <c r="C141"/>
      <c r="D141"/>
      <c r="E141" s="523"/>
    </row>
    <row r="142" spans="1:5" ht="12.75">
      <c r="A142" s="408">
        <v>130</v>
      </c>
      <c r="B142" s="3"/>
      <c r="C142"/>
      <c r="D142"/>
      <c r="E142" s="523"/>
    </row>
    <row r="143" spans="2:5" ht="12.75">
      <c r="B143" s="3"/>
      <c r="C143"/>
      <c r="D143"/>
      <c r="E143" s="523"/>
    </row>
    <row r="144" spans="2:5" ht="12.75">
      <c r="B144" s="3"/>
      <c r="C144"/>
      <c r="D144"/>
      <c r="E144" s="523"/>
    </row>
    <row r="145" spans="2:5" ht="12.75">
      <c r="B145" s="3"/>
      <c r="C145"/>
      <c r="D145"/>
      <c r="E145" s="523"/>
    </row>
    <row r="146" spans="2:5" ht="12.75">
      <c r="B146" s="3"/>
      <c r="C146"/>
      <c r="D146"/>
      <c r="E146" s="523"/>
    </row>
    <row r="147" spans="2:5" ht="12.75">
      <c r="B147" s="3"/>
      <c r="C147"/>
      <c r="D147"/>
      <c r="E147" s="523"/>
    </row>
    <row r="148" spans="2:5" ht="12.75">
      <c r="B148" s="3"/>
      <c r="C148"/>
      <c r="D148"/>
      <c r="E148" s="523"/>
    </row>
    <row r="149" spans="2:5" ht="12.75">
      <c r="B149" s="3"/>
      <c r="C149"/>
      <c r="D149"/>
      <c r="E149" s="523"/>
    </row>
    <row r="150" spans="2:5" ht="12.75">
      <c r="B150" s="3"/>
      <c r="C150"/>
      <c r="D150"/>
      <c r="E150" s="523"/>
    </row>
    <row r="151" spans="2:5" ht="12.75">
      <c r="B151" s="3"/>
      <c r="C151"/>
      <c r="D151"/>
      <c r="E151" s="523"/>
    </row>
    <row r="152" spans="2:5" ht="12.75">
      <c r="B152" s="3"/>
      <c r="C152"/>
      <c r="D152"/>
      <c r="E152" s="523"/>
    </row>
    <row r="153" spans="2:5" ht="12.75">
      <c r="B153" s="3"/>
      <c r="C153"/>
      <c r="D153"/>
      <c r="E153" s="523"/>
    </row>
    <row r="154" spans="2:5" ht="12.75">
      <c r="B154" s="3"/>
      <c r="C154"/>
      <c r="D154"/>
      <c r="E154" s="523"/>
    </row>
    <row r="155" spans="2:5" ht="12.75">
      <c r="B155" s="3"/>
      <c r="C155"/>
      <c r="D155"/>
      <c r="E155" s="523"/>
    </row>
    <row r="156" spans="2:5" ht="12.75">
      <c r="B156" s="3"/>
      <c r="C156"/>
      <c r="D156"/>
      <c r="E156" s="523"/>
    </row>
    <row r="157" spans="2:5" ht="12.75">
      <c r="B157" s="3"/>
      <c r="C157"/>
      <c r="D157"/>
      <c r="E157" s="523"/>
    </row>
    <row r="158" spans="2:5" ht="12.75">
      <c r="B158" s="3"/>
      <c r="C158"/>
      <c r="D158"/>
      <c r="E158" s="523"/>
    </row>
    <row r="159" spans="2:5" ht="12.75">
      <c r="B159" s="3"/>
      <c r="C159"/>
      <c r="D159"/>
      <c r="E159" s="523"/>
    </row>
    <row r="160" spans="2:5" ht="12.75">
      <c r="B160" s="3"/>
      <c r="C160"/>
      <c r="D160"/>
      <c r="E160" s="523"/>
    </row>
    <row r="161" spans="2:5" ht="12.75">
      <c r="B161" s="3"/>
      <c r="C161"/>
      <c r="D161"/>
      <c r="E161" s="523"/>
    </row>
    <row r="162" spans="2:5" ht="12.75">
      <c r="B162" s="3"/>
      <c r="C162"/>
      <c r="D162"/>
      <c r="E162" s="523"/>
    </row>
    <row r="163" spans="2:5" ht="12.75">
      <c r="B163" s="3"/>
      <c r="C163"/>
      <c r="D163"/>
      <c r="E163" s="523"/>
    </row>
    <row r="164" spans="2:5" ht="12.75">
      <c r="B164" s="3"/>
      <c r="C164"/>
      <c r="D164"/>
      <c r="E164" s="523"/>
    </row>
    <row r="165" spans="2:5" ht="12.75">
      <c r="B165" s="3"/>
      <c r="C165"/>
      <c r="D165"/>
      <c r="E165" s="523"/>
    </row>
    <row r="166" spans="2:5" ht="12.75">
      <c r="B166" s="3"/>
      <c r="C166"/>
      <c r="D166"/>
      <c r="E166" s="523"/>
    </row>
    <row r="167" spans="2:5" ht="12.75">
      <c r="B167" s="3"/>
      <c r="C167"/>
      <c r="D167"/>
      <c r="E167" s="523"/>
    </row>
    <row r="168" spans="2:5" ht="12.75">
      <c r="B168" s="3"/>
      <c r="C168"/>
      <c r="D168"/>
      <c r="E168" s="523"/>
    </row>
    <row r="169" spans="2:5" ht="12.75">
      <c r="B169" s="3"/>
      <c r="C169"/>
      <c r="D169"/>
      <c r="E169" s="523"/>
    </row>
    <row r="170" spans="2:5" ht="12.75">
      <c r="B170" s="3"/>
      <c r="C170"/>
      <c r="D170"/>
      <c r="E170" s="523"/>
    </row>
    <row r="171" spans="2:5" ht="12.75">
      <c r="B171" s="3"/>
      <c r="C171"/>
      <c r="D171"/>
      <c r="E171" s="523"/>
    </row>
    <row r="172" spans="2:5" ht="12.75">
      <c r="B172" s="3"/>
      <c r="C172"/>
      <c r="D172"/>
      <c r="E172" s="523"/>
    </row>
    <row r="173" spans="2:5" ht="12.75">
      <c r="B173" s="3"/>
      <c r="C173"/>
      <c r="D173"/>
      <c r="E173" s="523"/>
    </row>
    <row r="174" spans="2:5" ht="12.75">
      <c r="B174" s="3"/>
      <c r="C174"/>
      <c r="D174"/>
      <c r="E174" s="523"/>
    </row>
    <row r="175" spans="2:5" ht="12.75">
      <c r="B175" s="3"/>
      <c r="C175"/>
      <c r="D175"/>
      <c r="E175" s="523"/>
    </row>
    <row r="176" spans="2:5" ht="12.75">
      <c r="B176" s="3"/>
      <c r="C176"/>
      <c r="D176"/>
      <c r="E176" s="523"/>
    </row>
    <row r="177" spans="2:5" ht="12.75">
      <c r="B177" s="3"/>
      <c r="C177"/>
      <c r="D177"/>
      <c r="E177" s="523"/>
    </row>
    <row r="178" spans="2:5" ht="12.75">
      <c r="B178" s="3"/>
      <c r="C178"/>
      <c r="D178"/>
      <c r="E178" s="523"/>
    </row>
    <row r="179" spans="2:5" ht="12.75">
      <c r="B179" s="3"/>
      <c r="C179"/>
      <c r="D179"/>
      <c r="E179" s="523"/>
    </row>
    <row r="180" spans="2:5" ht="12.75">
      <c r="B180" s="3"/>
      <c r="C180"/>
      <c r="D180"/>
      <c r="E180" s="523"/>
    </row>
    <row r="181" spans="2:5" ht="12.75">
      <c r="B181" s="3"/>
      <c r="C181"/>
      <c r="D181"/>
      <c r="E181" s="523"/>
    </row>
    <row r="182" spans="2:5" ht="12.75">
      <c r="B182" s="3"/>
      <c r="C182"/>
      <c r="D182"/>
      <c r="E182" s="523"/>
    </row>
    <row r="183" spans="2:5" ht="12.75">
      <c r="B183" s="3"/>
      <c r="C183"/>
      <c r="D183"/>
      <c r="E183" s="523"/>
    </row>
    <row r="184" ht="12.75">
      <c r="E184" s="413"/>
    </row>
    <row r="185" ht="12.75">
      <c r="E185" s="413"/>
    </row>
    <row r="186" ht="12.75">
      <c r="E186" s="413"/>
    </row>
    <row r="187" ht="12.75">
      <c r="E187" s="413"/>
    </row>
    <row r="188" ht="12.75">
      <c r="E188" s="413"/>
    </row>
    <row r="189" ht="12.75">
      <c r="E189" s="413"/>
    </row>
    <row r="190" ht="12.75">
      <c r="E190" s="413"/>
    </row>
    <row r="191" ht="12.75">
      <c r="E191" s="413"/>
    </row>
    <row r="192" ht="12.75">
      <c r="E192" s="413"/>
    </row>
    <row r="193" ht="12.75">
      <c r="E193" s="413"/>
    </row>
    <row r="194" ht="12.75">
      <c r="E194" s="413"/>
    </row>
    <row r="195" ht="12.75">
      <c r="E195" s="413"/>
    </row>
    <row r="196" ht="12.75">
      <c r="E196" s="413"/>
    </row>
    <row r="197" ht="12.75">
      <c r="E197" s="413"/>
    </row>
    <row r="198" ht="12.75">
      <c r="E198" s="413"/>
    </row>
    <row r="199" ht="12.75">
      <c r="E199" s="413"/>
    </row>
    <row r="200" ht="12.75">
      <c r="E200" s="413"/>
    </row>
    <row r="201" ht="12.75">
      <c r="E201" s="413"/>
    </row>
    <row r="202" ht="12.75">
      <c r="E202" s="413"/>
    </row>
    <row r="203" ht="12.75">
      <c r="E203" s="413"/>
    </row>
    <row r="204" ht="12.75">
      <c r="E204" s="413"/>
    </row>
    <row r="205" ht="12.75">
      <c r="E205" s="413"/>
    </row>
    <row r="206" ht="12.75">
      <c r="E206" s="413"/>
    </row>
    <row r="207" ht="12.75">
      <c r="E207" s="413"/>
    </row>
    <row r="208" ht="12.75">
      <c r="E208" s="413"/>
    </row>
    <row r="209" ht="12.75">
      <c r="E209" s="413"/>
    </row>
    <row r="210" ht="12.75">
      <c r="E210" s="413"/>
    </row>
    <row r="211" ht="12.75">
      <c r="E211" s="413"/>
    </row>
    <row r="212" ht="12.75">
      <c r="E212" s="413"/>
    </row>
    <row r="213" ht="12.75">
      <c r="E213" s="413"/>
    </row>
    <row r="214" ht="12.75">
      <c r="E214" s="413"/>
    </row>
    <row r="215" ht="12.75">
      <c r="E215" s="413"/>
    </row>
    <row r="216" ht="12.75">
      <c r="E216" s="413"/>
    </row>
    <row r="217" ht="12.75">
      <c r="E217" s="413"/>
    </row>
    <row r="218" ht="12.75">
      <c r="E218" s="413"/>
    </row>
    <row r="219" ht="12.75">
      <c r="E219" s="413"/>
    </row>
    <row r="220" ht="12.75">
      <c r="E220" s="413"/>
    </row>
    <row r="221" ht="12.75">
      <c r="E221" s="413"/>
    </row>
    <row r="222" ht="12.75">
      <c r="E222" s="413"/>
    </row>
    <row r="223" ht="12.75">
      <c r="E223" s="413"/>
    </row>
    <row r="224" ht="12.75">
      <c r="E224" s="413"/>
    </row>
    <row r="225" ht="12.75">
      <c r="E225" s="413"/>
    </row>
    <row r="226" ht="12.75">
      <c r="E226" s="413"/>
    </row>
    <row r="227" ht="12.75">
      <c r="E227" s="413"/>
    </row>
    <row r="228" ht="12.75">
      <c r="E228" s="413"/>
    </row>
    <row r="229" ht="12.75">
      <c r="E229" s="413"/>
    </row>
    <row r="230" ht="12.75">
      <c r="E230" s="413"/>
    </row>
    <row r="231" ht="12.75">
      <c r="E231" s="413"/>
    </row>
    <row r="232" ht="12.75">
      <c r="E232" s="413"/>
    </row>
    <row r="233" ht="12.75">
      <c r="E233" s="413"/>
    </row>
    <row r="234" ht="12.75">
      <c r="E234" s="413"/>
    </row>
    <row r="235" ht="12.75">
      <c r="E235" s="413"/>
    </row>
    <row r="236" ht="12.75">
      <c r="E236" s="413"/>
    </row>
    <row r="237" ht="12.75">
      <c r="E237" s="413"/>
    </row>
    <row r="238" ht="12.75">
      <c r="E238" s="413"/>
    </row>
    <row r="239" ht="12.75">
      <c r="E239" s="413"/>
    </row>
    <row r="240" ht="12.75">
      <c r="E240" s="413"/>
    </row>
    <row r="241" ht="12.75">
      <c r="E241" s="413"/>
    </row>
    <row r="242" ht="12.75">
      <c r="E242" s="413"/>
    </row>
    <row r="243" ht="12.75">
      <c r="E243" s="413"/>
    </row>
    <row r="244" ht="12.75">
      <c r="E244" s="413"/>
    </row>
    <row r="245" ht="12.75">
      <c r="E245" s="413"/>
    </row>
    <row r="246" ht="12.75">
      <c r="E246" s="413"/>
    </row>
    <row r="247" ht="12.75">
      <c r="E247" s="413"/>
    </row>
    <row r="248" ht="12.75">
      <c r="E248" s="413"/>
    </row>
    <row r="249" ht="12.75">
      <c r="E249" s="413"/>
    </row>
    <row r="250" ht="12.75">
      <c r="E250" s="413"/>
    </row>
    <row r="251" ht="12.75">
      <c r="E251" s="413"/>
    </row>
    <row r="252" ht="12.75">
      <c r="E252" s="413"/>
    </row>
    <row r="253" ht="12.75">
      <c r="E253" s="413"/>
    </row>
    <row r="254" ht="12.75">
      <c r="E254" s="413"/>
    </row>
    <row r="255" ht="12.75">
      <c r="E255" s="413"/>
    </row>
    <row r="256" ht="12.75">
      <c r="E256" s="413"/>
    </row>
    <row r="257" ht="12.75">
      <c r="E257" s="413"/>
    </row>
    <row r="258" ht="12.75">
      <c r="E258" s="413"/>
    </row>
    <row r="259" ht="12.75">
      <c r="E259" s="413"/>
    </row>
    <row r="260" ht="12.75">
      <c r="E260" s="413"/>
    </row>
    <row r="261" ht="12.75">
      <c r="E261" s="413"/>
    </row>
    <row r="262" ht="12.75">
      <c r="E262" s="413"/>
    </row>
    <row r="263" ht="12.75">
      <c r="E263" s="413"/>
    </row>
    <row r="264" ht="12.75">
      <c r="E264" s="413"/>
    </row>
    <row r="265" ht="12.75">
      <c r="E265" s="413"/>
    </row>
    <row r="266" ht="12.75">
      <c r="E266" s="413"/>
    </row>
    <row r="267" ht="12.75">
      <c r="E267" s="413"/>
    </row>
    <row r="268" ht="12.75">
      <c r="E268" s="413"/>
    </row>
    <row r="269" ht="12.75">
      <c r="E269" s="413"/>
    </row>
    <row r="270" ht="12.75">
      <c r="E270" s="413"/>
    </row>
    <row r="271" ht="12.75">
      <c r="E271" s="413"/>
    </row>
    <row r="272" ht="12.75">
      <c r="E272" s="413"/>
    </row>
    <row r="273" ht="12.75">
      <c r="E273" s="413"/>
    </row>
    <row r="274" ht="12.75">
      <c r="E274" s="413"/>
    </row>
    <row r="275" ht="12.75">
      <c r="E275" s="413"/>
    </row>
    <row r="276" ht="12.75">
      <c r="E276" s="413"/>
    </row>
    <row r="277" ht="12.75">
      <c r="E277" s="413"/>
    </row>
    <row r="278" ht="12.75">
      <c r="E278" s="413"/>
    </row>
    <row r="279" ht="12.75">
      <c r="E279" s="413"/>
    </row>
    <row r="280" ht="12.75">
      <c r="E280" s="413"/>
    </row>
    <row r="281" ht="12.75">
      <c r="E281" s="413"/>
    </row>
    <row r="282" ht="12.75">
      <c r="E282" s="413"/>
    </row>
    <row r="283" ht="12.75">
      <c r="E283" s="413"/>
    </row>
    <row r="284" ht="12.75">
      <c r="E284" s="413"/>
    </row>
    <row r="285" ht="12.75">
      <c r="E285" s="413"/>
    </row>
    <row r="286" ht="12.75">
      <c r="E286" s="413"/>
    </row>
    <row r="287" ht="12.75">
      <c r="E287" s="413"/>
    </row>
    <row r="288" ht="12.75">
      <c r="E288" s="413"/>
    </row>
    <row r="289" ht="12.75">
      <c r="E289" s="413"/>
    </row>
    <row r="290" ht="12.75">
      <c r="E290" s="413"/>
    </row>
    <row r="291" ht="12.75">
      <c r="E291" s="413"/>
    </row>
    <row r="292" ht="12.75">
      <c r="E292" s="413"/>
    </row>
    <row r="293" ht="12.75">
      <c r="E293" s="413"/>
    </row>
    <row r="294" ht="12.75">
      <c r="E294" s="413"/>
    </row>
    <row r="295" ht="12.75">
      <c r="E295" s="413"/>
    </row>
    <row r="296" ht="12.75">
      <c r="E296" s="413"/>
    </row>
    <row r="297" ht="12.75">
      <c r="E297" s="413"/>
    </row>
    <row r="298" ht="12.75">
      <c r="E298" s="413"/>
    </row>
    <row r="299" ht="12.75">
      <c r="E299" s="413"/>
    </row>
    <row r="300" ht="12.75">
      <c r="E300" s="413"/>
    </row>
    <row r="301" ht="12.75">
      <c r="E301" s="413"/>
    </row>
    <row r="302" ht="12.75">
      <c r="E302" s="413"/>
    </row>
    <row r="303" ht="12.75">
      <c r="E303" s="413"/>
    </row>
    <row r="304" ht="12.75">
      <c r="E304" s="413"/>
    </row>
    <row r="305" ht="12.75">
      <c r="E305" s="413"/>
    </row>
    <row r="306" ht="12.75">
      <c r="E306" s="413"/>
    </row>
    <row r="307" ht="12.75">
      <c r="E307" s="413"/>
    </row>
    <row r="308" ht="12.75">
      <c r="E308" s="413"/>
    </row>
    <row r="309" ht="12.75">
      <c r="E309" s="413"/>
    </row>
    <row r="310" ht="12.75">
      <c r="E310" s="413"/>
    </row>
    <row r="311" ht="12.75">
      <c r="E311" s="413"/>
    </row>
    <row r="312" ht="12.75">
      <c r="E312" s="413"/>
    </row>
    <row r="313" ht="12.75">
      <c r="E313" s="413"/>
    </row>
    <row r="314" ht="12.75">
      <c r="E314" s="413"/>
    </row>
    <row r="315" ht="12.75">
      <c r="E315" s="413"/>
    </row>
    <row r="316" ht="12.75">
      <c r="E316" s="413"/>
    </row>
    <row r="317" ht="12.75">
      <c r="E317" s="413"/>
    </row>
    <row r="318" ht="12.75">
      <c r="E318" s="413"/>
    </row>
    <row r="319" ht="12.75">
      <c r="E319" s="413"/>
    </row>
    <row r="320" ht="12.75">
      <c r="E320" s="413"/>
    </row>
    <row r="321" ht="12.75">
      <c r="E321" s="413"/>
    </row>
    <row r="322" ht="12.75">
      <c r="E322" s="413"/>
    </row>
    <row r="323" ht="12.75">
      <c r="E323" s="413"/>
    </row>
    <row r="324" ht="12.75">
      <c r="E324" s="413"/>
    </row>
    <row r="325" ht="12.75">
      <c r="E325" s="413"/>
    </row>
    <row r="326" ht="12.75">
      <c r="E326" s="413"/>
    </row>
    <row r="327" ht="12.75">
      <c r="E327" s="413"/>
    </row>
    <row r="328" ht="12.75">
      <c r="E328" s="413"/>
    </row>
    <row r="329" ht="12.75">
      <c r="E329" s="413"/>
    </row>
    <row r="330" ht="12.75">
      <c r="E330" s="413"/>
    </row>
    <row r="331" ht="12.75">
      <c r="E331" s="413"/>
    </row>
    <row r="332" ht="12.75">
      <c r="E332" s="413"/>
    </row>
    <row r="333" ht="12.75">
      <c r="E333" s="413"/>
    </row>
    <row r="334" ht="12.75">
      <c r="E334" s="413"/>
    </row>
    <row r="335" ht="12.75">
      <c r="E335" s="413"/>
    </row>
    <row r="336" ht="12.75">
      <c r="E336" s="413"/>
    </row>
    <row r="337" ht="12.75">
      <c r="E337" s="413"/>
    </row>
    <row r="338" ht="12.75">
      <c r="E338" s="413"/>
    </row>
    <row r="339" ht="12.75">
      <c r="E339" s="413"/>
    </row>
    <row r="340" ht="12.75">
      <c r="E340" s="413"/>
    </row>
    <row r="341" ht="12.75">
      <c r="E341" s="413"/>
    </row>
    <row r="342" ht="12.75">
      <c r="E342" s="413"/>
    </row>
    <row r="343" ht="12.75">
      <c r="E343" s="413"/>
    </row>
    <row r="344" ht="12.75">
      <c r="E344" s="413"/>
    </row>
    <row r="345" ht="12.75">
      <c r="E345" s="413"/>
    </row>
    <row r="346" ht="12.75">
      <c r="E346" s="413"/>
    </row>
    <row r="347" ht="12.75">
      <c r="E347" s="413"/>
    </row>
    <row r="348" ht="12.75">
      <c r="E348" s="413"/>
    </row>
    <row r="349" ht="12.75">
      <c r="E349" s="413"/>
    </row>
    <row r="350" ht="12.75">
      <c r="E350" s="413"/>
    </row>
    <row r="351" ht="12.75">
      <c r="E351" s="413"/>
    </row>
    <row r="352" ht="12.75">
      <c r="E352" s="413"/>
    </row>
    <row r="353" ht="12.75">
      <c r="E353" s="413"/>
    </row>
    <row r="354" ht="12.75">
      <c r="E354" s="413"/>
    </row>
    <row r="355" ht="12.75">
      <c r="E355" s="413"/>
    </row>
    <row r="356" ht="12.75">
      <c r="E356" s="413"/>
    </row>
    <row r="357" ht="12.75">
      <c r="E357" s="413"/>
    </row>
    <row r="358" ht="12.75">
      <c r="E358" s="413"/>
    </row>
    <row r="359" ht="12.75">
      <c r="E359" s="413"/>
    </row>
    <row r="360" ht="12.75">
      <c r="E360" s="413"/>
    </row>
    <row r="361" ht="12.75">
      <c r="E361" s="413"/>
    </row>
    <row r="362" ht="12.75">
      <c r="E362" s="413"/>
    </row>
    <row r="363" ht="12.75">
      <c r="E363" s="413"/>
    </row>
    <row r="364" ht="12.75">
      <c r="E364" s="413"/>
    </row>
    <row r="365" ht="12.75">
      <c r="E365" s="413"/>
    </row>
    <row r="366" ht="12.75">
      <c r="E366" s="413"/>
    </row>
    <row r="367" ht="12.75">
      <c r="E367" s="413"/>
    </row>
    <row r="368" ht="12.75">
      <c r="E368" s="413"/>
    </row>
    <row r="369" ht="12.75">
      <c r="E369" s="413"/>
    </row>
    <row r="370" ht="12.75">
      <c r="E370" s="413"/>
    </row>
    <row r="371" ht="12.75">
      <c r="E371" s="413"/>
    </row>
    <row r="372" ht="12.75">
      <c r="E372" s="413"/>
    </row>
    <row r="373" ht="12.75">
      <c r="E373" s="413"/>
    </row>
    <row r="374" ht="12.75">
      <c r="E374" s="413"/>
    </row>
    <row r="375" ht="12.75">
      <c r="E375" s="413"/>
    </row>
    <row r="376" ht="12.75">
      <c r="E376" s="413"/>
    </row>
    <row r="377" ht="12.75">
      <c r="E377" s="413"/>
    </row>
    <row r="378" ht="12.75">
      <c r="E378" s="413"/>
    </row>
    <row r="379" ht="12.75">
      <c r="E379" s="413"/>
    </row>
    <row r="380" ht="12.75">
      <c r="E380" s="413"/>
    </row>
    <row r="381" ht="12.75">
      <c r="E381" s="413"/>
    </row>
    <row r="382" ht="12.75">
      <c r="E382" s="413"/>
    </row>
    <row r="383" ht="12.75">
      <c r="E383" s="413"/>
    </row>
    <row r="384" ht="12.75">
      <c r="E384" s="413"/>
    </row>
    <row r="385" ht="12.75">
      <c r="E385" s="413"/>
    </row>
    <row r="386" ht="12.75">
      <c r="E386" s="413"/>
    </row>
    <row r="387" ht="12.75">
      <c r="E387" s="413"/>
    </row>
    <row r="388" ht="12.75">
      <c r="E388" s="413"/>
    </row>
    <row r="389" ht="12.75">
      <c r="E389" s="413"/>
    </row>
    <row r="390" ht="12.75">
      <c r="E390" s="413"/>
    </row>
    <row r="391" ht="12.75">
      <c r="E391" s="413"/>
    </row>
    <row r="392" ht="12.75">
      <c r="E392" s="413"/>
    </row>
    <row r="393" ht="12.75">
      <c r="E393" s="413"/>
    </row>
    <row r="394" ht="12.75">
      <c r="E394" s="413"/>
    </row>
    <row r="395" ht="12.75">
      <c r="E395" s="413"/>
    </row>
    <row r="396" ht="12.75">
      <c r="E396" s="413"/>
    </row>
    <row r="397" ht="12.75">
      <c r="E397" s="413"/>
    </row>
    <row r="398" ht="12.75">
      <c r="E398" s="415"/>
    </row>
    <row r="399" ht="12.75">
      <c r="E399" s="415"/>
    </row>
    <row r="400" ht="12.75">
      <c r="E400" s="415"/>
    </row>
    <row r="401" ht="12.75">
      <c r="E401" s="415"/>
    </row>
    <row r="402" ht="12.75">
      <c r="E402" s="415"/>
    </row>
    <row r="403" ht="12.75">
      <c r="E403" s="415"/>
    </row>
    <row r="404" ht="12.75">
      <c r="E404" s="415"/>
    </row>
    <row r="405" ht="12.75">
      <c r="E405" s="415"/>
    </row>
    <row r="406" ht="12.75">
      <c r="E406" s="415"/>
    </row>
    <row r="407" ht="12.75">
      <c r="E407" s="415"/>
    </row>
    <row r="408" ht="12.75">
      <c r="E408" s="415"/>
    </row>
    <row r="409" ht="12.75">
      <c r="E409" s="415"/>
    </row>
    <row r="410" ht="12.75">
      <c r="E410" s="415"/>
    </row>
    <row r="411" ht="12.75">
      <c r="E411" s="415"/>
    </row>
    <row r="412" ht="12.75">
      <c r="E412" s="415"/>
    </row>
    <row r="413" ht="12.75">
      <c r="E413" s="415"/>
    </row>
    <row r="414" ht="12.75">
      <c r="E414" s="415"/>
    </row>
    <row r="415" ht="12.75">
      <c r="E415" s="415"/>
    </row>
    <row r="416" ht="12.75">
      <c r="E416" s="415"/>
    </row>
    <row r="417" ht="12.75">
      <c r="E417" s="415"/>
    </row>
    <row r="418" ht="12.75">
      <c r="E418" s="415"/>
    </row>
    <row r="419" ht="12.75">
      <c r="E419" s="415"/>
    </row>
    <row r="420" ht="12.75">
      <c r="E420" s="415"/>
    </row>
    <row r="421" ht="12.75">
      <c r="E421" s="415"/>
    </row>
    <row r="422" ht="12.75">
      <c r="E422" s="415"/>
    </row>
    <row r="423" ht="12.75">
      <c r="E423" s="415"/>
    </row>
    <row r="424" ht="12.75">
      <c r="E424" s="415"/>
    </row>
    <row r="425" ht="12.75">
      <c r="E425" s="415"/>
    </row>
    <row r="426" ht="12.75">
      <c r="E426" s="415"/>
    </row>
    <row r="427" ht="12.75">
      <c r="E427" s="415"/>
    </row>
    <row r="428" ht="12.75">
      <c r="E428" s="415"/>
    </row>
    <row r="429" ht="12.75">
      <c r="E429" s="415"/>
    </row>
    <row r="430" ht="12.75">
      <c r="E430" s="415"/>
    </row>
    <row r="431" ht="12.75">
      <c r="E431" s="415"/>
    </row>
    <row r="432" ht="12.75">
      <c r="E432" s="415"/>
    </row>
    <row r="433" ht="12.75">
      <c r="E433" s="415"/>
    </row>
    <row r="434" ht="12.75">
      <c r="E434" s="415"/>
    </row>
    <row r="435" ht="12.75">
      <c r="E435" s="415"/>
    </row>
    <row r="436" ht="12.75">
      <c r="E436" s="415"/>
    </row>
    <row r="437" ht="12.75">
      <c r="E437" s="415"/>
    </row>
    <row r="438" ht="12.75">
      <c r="E438" s="415"/>
    </row>
    <row r="439" ht="12.75">
      <c r="E439" s="415"/>
    </row>
    <row r="440" ht="12.75">
      <c r="E440" s="415"/>
    </row>
    <row r="441" ht="12.75">
      <c r="E441" s="415"/>
    </row>
    <row r="442" ht="12.75">
      <c r="E442" s="415"/>
    </row>
    <row r="443" ht="12.75">
      <c r="E443" s="415"/>
    </row>
    <row r="444" ht="12.75">
      <c r="E444" s="415"/>
    </row>
    <row r="445" ht="12.75">
      <c r="E445" s="415"/>
    </row>
    <row r="446" ht="12.75">
      <c r="E446" s="415"/>
    </row>
    <row r="447" ht="12.75">
      <c r="E447" s="415"/>
    </row>
    <row r="448" ht="12.75">
      <c r="E448" s="415"/>
    </row>
    <row r="449" ht="12.75">
      <c r="E449" s="415"/>
    </row>
    <row r="450" ht="12.75">
      <c r="E450" s="415"/>
    </row>
    <row r="451" ht="12.75">
      <c r="E451" s="415"/>
    </row>
    <row r="452" ht="12.75">
      <c r="E452" s="415"/>
    </row>
    <row r="453" ht="12.75">
      <c r="E453" s="415"/>
    </row>
    <row r="454" ht="12.75">
      <c r="E454" s="415"/>
    </row>
    <row r="455" ht="12.75">
      <c r="E455" s="415"/>
    </row>
    <row r="456" ht="12.75">
      <c r="E456" s="415"/>
    </row>
    <row r="457" ht="12.75">
      <c r="E457" s="415"/>
    </row>
    <row r="458" ht="12.75">
      <c r="E458" s="415"/>
    </row>
    <row r="459" ht="12.75">
      <c r="E459" s="415"/>
    </row>
    <row r="460" ht="12.75">
      <c r="E460" s="415"/>
    </row>
    <row r="461" ht="12.75">
      <c r="E461" s="415"/>
    </row>
    <row r="462" ht="12.75">
      <c r="E462" s="415"/>
    </row>
    <row r="463" ht="12.75">
      <c r="E463" s="415"/>
    </row>
    <row r="464" ht="12.75">
      <c r="E464" s="415"/>
    </row>
    <row r="465" ht="12.75">
      <c r="E465" s="415"/>
    </row>
    <row r="466" ht="12.75">
      <c r="E466" s="415"/>
    </row>
    <row r="467" ht="12.75">
      <c r="E467" s="415"/>
    </row>
    <row r="468" ht="12.75">
      <c r="E468" s="415"/>
    </row>
    <row r="469" ht="12.75">
      <c r="E469" s="415"/>
    </row>
    <row r="470" ht="12.75">
      <c r="E470" s="415"/>
    </row>
    <row r="471" ht="12.75">
      <c r="E471" s="415"/>
    </row>
    <row r="472" ht="12.75">
      <c r="E472" s="415"/>
    </row>
    <row r="473" ht="12.75">
      <c r="E473" s="415"/>
    </row>
    <row r="474" ht="12.75">
      <c r="E474" s="415"/>
    </row>
    <row r="475" ht="12.75">
      <c r="E475" s="415"/>
    </row>
    <row r="476" ht="12.75">
      <c r="E476" s="415"/>
    </row>
    <row r="477" ht="12.75">
      <c r="E477" s="415"/>
    </row>
    <row r="478" ht="12.75">
      <c r="E478" s="415"/>
    </row>
    <row r="479" ht="12.75">
      <c r="E479" s="415"/>
    </row>
    <row r="480" ht="12.75">
      <c r="E480" s="415"/>
    </row>
    <row r="481" ht="12.75">
      <c r="E481" s="415"/>
    </row>
    <row r="482" ht="12.75">
      <c r="E482" s="415"/>
    </row>
    <row r="483" ht="12.75">
      <c r="E483" s="415"/>
    </row>
    <row r="484" ht="12.75">
      <c r="E484" s="415"/>
    </row>
    <row r="485" ht="12.75">
      <c r="E485" s="415"/>
    </row>
    <row r="486" ht="12.75">
      <c r="E486" s="415"/>
    </row>
    <row r="487" ht="12.75">
      <c r="E487" s="415"/>
    </row>
    <row r="488" ht="12.75">
      <c r="E488" s="415"/>
    </row>
    <row r="489" ht="12.75">
      <c r="E489" s="415"/>
    </row>
    <row r="490" ht="12.75">
      <c r="E490" s="415"/>
    </row>
    <row r="491" ht="12.75">
      <c r="E491" s="415"/>
    </row>
    <row r="492" ht="12.75">
      <c r="E492" s="415"/>
    </row>
    <row r="493" ht="12.75">
      <c r="E493" s="415"/>
    </row>
    <row r="494" ht="12.75">
      <c r="E494" s="415"/>
    </row>
    <row r="495" ht="12.75">
      <c r="E495" s="415"/>
    </row>
    <row r="496" ht="12.75">
      <c r="E496" s="415"/>
    </row>
    <row r="497" ht="12.75">
      <c r="E497" s="415"/>
    </row>
    <row r="498" ht="12.75">
      <c r="E498" s="415"/>
    </row>
    <row r="499" ht="12.75">
      <c r="E499" s="415"/>
    </row>
    <row r="500" ht="12.75">
      <c r="E500" s="415"/>
    </row>
    <row r="501" ht="12.75">
      <c r="E501" s="415"/>
    </row>
    <row r="502" ht="12.75">
      <c r="E502" s="415"/>
    </row>
    <row r="503" ht="12.75">
      <c r="E503" s="415"/>
    </row>
    <row r="504" ht="12.75">
      <c r="E504" s="415"/>
    </row>
    <row r="505" ht="12.75">
      <c r="E505" s="415"/>
    </row>
    <row r="506" ht="12.75">
      <c r="E506" s="415"/>
    </row>
    <row r="507" ht="12.75">
      <c r="E507" s="415"/>
    </row>
    <row r="508" ht="12.75">
      <c r="E508" s="415"/>
    </row>
    <row r="509" ht="12.75">
      <c r="E509" s="415"/>
    </row>
    <row r="510" ht="12.75">
      <c r="E510" s="415"/>
    </row>
    <row r="511" ht="12.75">
      <c r="E511" s="415"/>
    </row>
    <row r="512" ht="12.75">
      <c r="E512" s="415"/>
    </row>
    <row r="513" ht="12.75">
      <c r="E513" s="415"/>
    </row>
    <row r="514" ht="12.75">
      <c r="E514" s="415"/>
    </row>
    <row r="515" ht="12.75">
      <c r="E515" s="415"/>
    </row>
    <row r="516" ht="12.75">
      <c r="E516" s="415"/>
    </row>
    <row r="517" ht="12.75">
      <c r="E517" s="415"/>
    </row>
    <row r="518" ht="12.75">
      <c r="E518" s="415"/>
    </row>
    <row r="519" ht="12.75">
      <c r="E519" s="415"/>
    </row>
    <row r="520" ht="12.75">
      <c r="E520" s="415"/>
    </row>
    <row r="521" ht="12.75">
      <c r="E521" s="415"/>
    </row>
    <row r="522" ht="12.75">
      <c r="E522" s="415"/>
    </row>
    <row r="523" ht="12.75">
      <c r="E523" s="415"/>
    </row>
    <row r="524" ht="12.75">
      <c r="E524" s="415"/>
    </row>
    <row r="525" ht="12.75">
      <c r="E525" s="415"/>
    </row>
    <row r="526" ht="12.75">
      <c r="E526" s="415"/>
    </row>
    <row r="527" ht="12.75">
      <c r="E527" s="415"/>
    </row>
    <row r="528" ht="12.75">
      <c r="E528" s="415"/>
    </row>
    <row r="529" ht="12.75">
      <c r="E529" s="415"/>
    </row>
    <row r="530" ht="12.75">
      <c r="E530" s="415"/>
    </row>
    <row r="531" ht="12.75">
      <c r="E531" s="415"/>
    </row>
    <row r="532" ht="12.75">
      <c r="E532" s="415"/>
    </row>
    <row r="533" ht="12.75">
      <c r="E533" s="415"/>
    </row>
    <row r="534" ht="12.75">
      <c r="E534" s="415"/>
    </row>
    <row r="535" ht="12.75">
      <c r="E535" s="415"/>
    </row>
    <row r="536" ht="12.75">
      <c r="E536" s="415"/>
    </row>
    <row r="537" ht="12.75">
      <c r="E537" s="415"/>
    </row>
    <row r="538" ht="12.75">
      <c r="E538" s="415"/>
    </row>
    <row r="539" ht="12.75">
      <c r="E539" s="415"/>
    </row>
    <row r="540" ht="12.75">
      <c r="E540" s="415"/>
    </row>
    <row r="541" ht="12.75">
      <c r="E541" s="415"/>
    </row>
    <row r="542" ht="12.75">
      <c r="E542" s="415"/>
    </row>
    <row r="543" ht="12.75">
      <c r="E543" s="415"/>
    </row>
    <row r="544" ht="12.75">
      <c r="E544" s="415"/>
    </row>
    <row r="545" ht="12.75">
      <c r="E545" s="415"/>
    </row>
    <row r="546" ht="12.75">
      <c r="E546" s="415"/>
    </row>
    <row r="547" ht="12.75">
      <c r="E547" s="415"/>
    </row>
    <row r="548" ht="12.75">
      <c r="E548" s="415"/>
    </row>
    <row r="549" ht="12.75">
      <c r="E549" s="415"/>
    </row>
    <row r="550" ht="12.75">
      <c r="E550" s="415"/>
    </row>
    <row r="551" ht="12.75">
      <c r="E551" s="415"/>
    </row>
    <row r="552" ht="12.75">
      <c r="E552" s="415"/>
    </row>
    <row r="553" ht="12.75">
      <c r="E553" s="415"/>
    </row>
    <row r="554" ht="12.75">
      <c r="E554" s="415"/>
    </row>
    <row r="555" ht="12.75">
      <c r="E555" s="415"/>
    </row>
    <row r="556" ht="12.75">
      <c r="E556" s="415"/>
    </row>
    <row r="557" ht="12.75">
      <c r="E557" s="415"/>
    </row>
    <row r="558" ht="12.75">
      <c r="E558" s="415"/>
    </row>
    <row r="559" ht="12.75">
      <c r="E559" s="415"/>
    </row>
    <row r="560" ht="12.75">
      <c r="E560" s="415"/>
    </row>
    <row r="561" ht="12.75">
      <c r="E561" s="415"/>
    </row>
    <row r="562" ht="12.75">
      <c r="E562" s="415"/>
    </row>
    <row r="563" ht="12.75">
      <c r="E563" s="415"/>
    </row>
    <row r="564" ht="12.75">
      <c r="E564" s="415"/>
    </row>
    <row r="565" ht="12.75">
      <c r="E565" s="415"/>
    </row>
    <row r="566" ht="12.75">
      <c r="E566" s="415"/>
    </row>
    <row r="567" ht="12.75">
      <c r="E567" s="415"/>
    </row>
    <row r="568" ht="12.75">
      <c r="E568" s="415"/>
    </row>
    <row r="569" ht="12.75">
      <c r="E569" s="415"/>
    </row>
    <row r="570" ht="12.75">
      <c r="E570" s="415"/>
    </row>
    <row r="571" ht="12.75">
      <c r="E571" s="415"/>
    </row>
    <row r="572" ht="12.75">
      <c r="E572" s="415"/>
    </row>
    <row r="573" ht="12.75">
      <c r="E573" s="415"/>
    </row>
    <row r="574" ht="12.75">
      <c r="E574" s="415"/>
    </row>
    <row r="575" ht="12.75">
      <c r="E575" s="415"/>
    </row>
    <row r="576" ht="12.75">
      <c r="E576" s="415"/>
    </row>
    <row r="577" ht="12.75">
      <c r="E577" s="415"/>
    </row>
    <row r="578" ht="12.75">
      <c r="E578" s="415"/>
    </row>
    <row r="579" ht="12.75">
      <c r="E579" s="415"/>
    </row>
    <row r="580" ht="12.75">
      <c r="E580" s="415"/>
    </row>
    <row r="581" ht="12.75">
      <c r="E581" s="415"/>
    </row>
    <row r="582" ht="12.75">
      <c r="E582" s="415"/>
    </row>
    <row r="583" ht="12.75">
      <c r="E583" s="415"/>
    </row>
    <row r="584" ht="12.75">
      <c r="E584" s="415"/>
    </row>
    <row r="585" ht="12.75">
      <c r="E585" s="415"/>
    </row>
    <row r="586" ht="12.75">
      <c r="E586" s="415"/>
    </row>
    <row r="587" ht="12.75">
      <c r="E587" s="415"/>
    </row>
    <row r="588" ht="12.75">
      <c r="E588" s="415"/>
    </row>
    <row r="589" ht="12.75">
      <c r="E589" s="415"/>
    </row>
    <row r="590" ht="12.75">
      <c r="E590" s="415"/>
    </row>
    <row r="591" ht="12.75">
      <c r="E591" s="415"/>
    </row>
    <row r="592" ht="12.75">
      <c r="E592" s="415"/>
    </row>
    <row r="593" ht="12.75">
      <c r="E593" s="415"/>
    </row>
    <row r="594" ht="12.75">
      <c r="E594" s="415"/>
    </row>
    <row r="595" ht="12.75">
      <c r="E595" s="415"/>
    </row>
    <row r="596" ht="12.75">
      <c r="E596" s="415"/>
    </row>
    <row r="597" ht="12.75">
      <c r="E597" s="415"/>
    </row>
    <row r="598" ht="12.75">
      <c r="E598" s="415"/>
    </row>
    <row r="599" ht="12.75">
      <c r="E599" s="415"/>
    </row>
    <row r="600" ht="12.75">
      <c r="E600" s="415"/>
    </row>
    <row r="601" ht="12.75">
      <c r="E601" s="415"/>
    </row>
    <row r="602" ht="12.75">
      <c r="E602" s="415"/>
    </row>
    <row r="603" ht="12.75">
      <c r="E603" s="415"/>
    </row>
    <row r="604" ht="12.75">
      <c r="E604" s="415"/>
    </row>
    <row r="605" ht="12.75">
      <c r="E605" s="415"/>
    </row>
    <row r="606" ht="12.75">
      <c r="E606" s="415"/>
    </row>
    <row r="607" ht="12.75">
      <c r="E607" s="415"/>
    </row>
    <row r="608" ht="12.75">
      <c r="E608" s="415"/>
    </row>
    <row r="609" ht="12.75">
      <c r="E609" s="415"/>
    </row>
    <row r="610" ht="12.75">
      <c r="E610" s="415"/>
    </row>
    <row r="611" ht="12.75">
      <c r="E611" s="415"/>
    </row>
    <row r="612" ht="12.75">
      <c r="E612" s="415"/>
    </row>
    <row r="613" ht="12.75">
      <c r="E613" s="415"/>
    </row>
    <row r="614" ht="12.75">
      <c r="E614" s="415"/>
    </row>
    <row r="615" ht="12.75">
      <c r="E615" s="415"/>
    </row>
    <row r="616" ht="12.75">
      <c r="E616" s="415"/>
    </row>
    <row r="617" ht="12.75">
      <c r="E617" s="415"/>
    </row>
    <row r="618" ht="12.75">
      <c r="E618" s="415"/>
    </row>
    <row r="619" ht="12.75">
      <c r="E619" s="415"/>
    </row>
    <row r="620" ht="12.75">
      <c r="E620" s="415"/>
    </row>
    <row r="621" ht="12.75">
      <c r="E621" s="415"/>
    </row>
    <row r="622" ht="12.75">
      <c r="E622" s="415"/>
    </row>
    <row r="623" ht="12.75">
      <c r="E623" s="415"/>
    </row>
    <row r="624" ht="12.75">
      <c r="E624" s="415"/>
    </row>
    <row r="625" ht="12.75">
      <c r="E625" s="415"/>
    </row>
    <row r="626" ht="12.75">
      <c r="E626" s="415"/>
    </row>
    <row r="627" ht="12.75">
      <c r="E627" s="415"/>
    </row>
    <row r="628" ht="12.75">
      <c r="E628" s="415"/>
    </row>
    <row r="629" ht="12.75">
      <c r="E629" s="415"/>
    </row>
    <row r="630" ht="12.75">
      <c r="E630" s="415"/>
    </row>
    <row r="631" ht="12.75">
      <c r="E631" s="415"/>
    </row>
    <row r="632" ht="12.75">
      <c r="E632" s="415"/>
    </row>
    <row r="633" ht="12.75">
      <c r="E633" s="415"/>
    </row>
    <row r="634" ht="12.75">
      <c r="E634" s="415"/>
    </row>
    <row r="635" ht="12.75">
      <c r="E635" s="415"/>
    </row>
    <row r="636" ht="12.75">
      <c r="E636" s="415"/>
    </row>
    <row r="637" ht="12.75">
      <c r="E637" s="415"/>
    </row>
    <row r="638" ht="12.75">
      <c r="E638" s="415"/>
    </row>
    <row r="639" ht="12.75">
      <c r="E639" s="415"/>
    </row>
    <row r="640" ht="12.75">
      <c r="E640" s="415"/>
    </row>
    <row r="641" ht="12.75">
      <c r="E641" s="415"/>
    </row>
    <row r="642" ht="12.75">
      <c r="E642" s="415"/>
    </row>
    <row r="643" ht="12.75">
      <c r="E643" s="415"/>
    </row>
    <row r="644" ht="12.75">
      <c r="E644" s="415"/>
    </row>
    <row r="645" ht="12.75">
      <c r="E645" s="415"/>
    </row>
    <row r="646" ht="12.75">
      <c r="E646" s="415"/>
    </row>
    <row r="647" ht="12.75">
      <c r="E647" s="415"/>
    </row>
    <row r="648" ht="12.75">
      <c r="E648" s="415"/>
    </row>
    <row r="649" ht="12.75">
      <c r="E649" s="415"/>
    </row>
    <row r="650" ht="12.75">
      <c r="E650" s="415"/>
    </row>
    <row r="651" ht="12.75">
      <c r="E651" s="415"/>
    </row>
    <row r="652" ht="12.75">
      <c r="E652" s="415"/>
    </row>
    <row r="653" ht="12.75">
      <c r="E653" s="415"/>
    </row>
    <row r="654" ht="12.75">
      <c r="E654" s="415"/>
    </row>
    <row r="655" ht="12.75">
      <c r="E655" s="415"/>
    </row>
    <row r="656" ht="12.75">
      <c r="E656" s="415"/>
    </row>
    <row r="657" ht="12.75">
      <c r="E657" s="415"/>
    </row>
    <row r="658" ht="12.75">
      <c r="E658" s="415"/>
    </row>
    <row r="659" ht="12.75">
      <c r="E659" s="415"/>
    </row>
    <row r="660" ht="12.75">
      <c r="E660" s="415"/>
    </row>
    <row r="661" ht="12.75">
      <c r="E661" s="415"/>
    </row>
    <row r="662" ht="12.75">
      <c r="E662" s="415"/>
    </row>
    <row r="663" ht="12.75">
      <c r="E663" s="415"/>
    </row>
    <row r="664" ht="12.75">
      <c r="E664" s="415"/>
    </row>
    <row r="665" ht="12.75">
      <c r="E665" s="415"/>
    </row>
    <row r="666" ht="12.75">
      <c r="E666" s="415"/>
    </row>
    <row r="667" ht="12.75">
      <c r="E667" s="415"/>
    </row>
    <row r="668" ht="12.75">
      <c r="E668" s="415"/>
    </row>
    <row r="669" ht="12.75">
      <c r="E669" s="415"/>
    </row>
    <row r="670" ht="12.75">
      <c r="E670" s="415"/>
    </row>
    <row r="671" ht="12.75">
      <c r="E671" s="415"/>
    </row>
    <row r="672" ht="12.75">
      <c r="E672" s="415"/>
    </row>
    <row r="673" ht="12.75">
      <c r="E673" s="415"/>
    </row>
    <row r="674" ht="12.75">
      <c r="E674" s="415"/>
    </row>
    <row r="675" ht="12.75">
      <c r="E675" s="415"/>
    </row>
    <row r="676" ht="12.75">
      <c r="E676" s="415"/>
    </row>
    <row r="677" ht="12.75">
      <c r="E677" s="415"/>
    </row>
    <row r="678" ht="12.75">
      <c r="E678" s="415"/>
    </row>
    <row r="679" ht="12.75">
      <c r="E679" s="415"/>
    </row>
    <row r="680" ht="12.75">
      <c r="E680" s="415"/>
    </row>
    <row r="681" ht="12.75">
      <c r="E681" s="415"/>
    </row>
    <row r="682" ht="12.75">
      <c r="E682" s="415"/>
    </row>
    <row r="683" ht="12.75">
      <c r="E683" s="415"/>
    </row>
    <row r="684" ht="12.75">
      <c r="E684" s="415"/>
    </row>
    <row r="685" ht="12.75">
      <c r="E685" s="415"/>
    </row>
    <row r="686" ht="12.75">
      <c r="E686" s="415"/>
    </row>
    <row r="687" ht="12.75">
      <c r="E687" s="415"/>
    </row>
    <row r="688" ht="12.75">
      <c r="E688" s="415"/>
    </row>
    <row r="689" ht="12.75">
      <c r="E689" s="415"/>
    </row>
    <row r="690" ht="12.75">
      <c r="E690" s="415"/>
    </row>
    <row r="691" ht="12.75">
      <c r="E691" s="415"/>
    </row>
    <row r="692" ht="12.75">
      <c r="E692" s="415"/>
    </row>
    <row r="693" ht="12.75">
      <c r="E693" s="415"/>
    </row>
    <row r="694" ht="12.75">
      <c r="E694" s="415"/>
    </row>
    <row r="695" ht="12.75">
      <c r="E695" s="415"/>
    </row>
    <row r="696" ht="12.75">
      <c r="E696" s="415"/>
    </row>
    <row r="697" ht="12.75">
      <c r="E697" s="415"/>
    </row>
    <row r="698" ht="12.75">
      <c r="E698" s="415"/>
    </row>
    <row r="699" ht="12.75">
      <c r="E699" s="415"/>
    </row>
    <row r="700" ht="12.75">
      <c r="E700" s="415"/>
    </row>
    <row r="701" ht="12.75">
      <c r="E701" s="415"/>
    </row>
    <row r="702" ht="12.75">
      <c r="E702" s="415"/>
    </row>
    <row r="703" ht="12.75">
      <c r="E703" s="415"/>
    </row>
    <row r="704" ht="12.75">
      <c r="E704" s="415"/>
    </row>
    <row r="705" ht="12.75">
      <c r="E705" s="415"/>
    </row>
    <row r="706" ht="12.75">
      <c r="E706" s="415"/>
    </row>
    <row r="707" ht="12.75">
      <c r="E707" s="415"/>
    </row>
    <row r="708" ht="12.75">
      <c r="E708" s="415"/>
    </row>
    <row r="709" ht="12.75">
      <c r="E709" s="415"/>
    </row>
    <row r="710" ht="12.75">
      <c r="E710" s="415"/>
    </row>
    <row r="711" ht="12.75">
      <c r="E711" s="415"/>
    </row>
    <row r="712" ht="12.75">
      <c r="E712" s="415"/>
    </row>
    <row r="713" ht="12.75">
      <c r="E713" s="415"/>
    </row>
    <row r="714" ht="12.75">
      <c r="E714" s="415"/>
    </row>
    <row r="715" ht="12.75">
      <c r="E715" s="415"/>
    </row>
    <row r="716" ht="12.75">
      <c r="E716" s="415"/>
    </row>
    <row r="717" ht="12.75">
      <c r="E717" s="415"/>
    </row>
    <row r="718" ht="12.75">
      <c r="E718" s="415"/>
    </row>
    <row r="719" ht="12.75">
      <c r="E719" s="415"/>
    </row>
    <row r="720" ht="12.75">
      <c r="E720" s="415"/>
    </row>
    <row r="721" ht="12.75">
      <c r="E721" s="415"/>
    </row>
    <row r="722" ht="12.75">
      <c r="E722" s="415"/>
    </row>
    <row r="723" ht="12.75">
      <c r="E723" s="415"/>
    </row>
    <row r="724" ht="12.75">
      <c r="E724" s="415"/>
    </row>
    <row r="725" ht="12.75">
      <c r="E725" s="415"/>
    </row>
    <row r="726" ht="12.75">
      <c r="E726" s="415"/>
    </row>
    <row r="727" ht="12.75">
      <c r="E727" s="415"/>
    </row>
    <row r="728" ht="12.75">
      <c r="E728" s="415"/>
    </row>
    <row r="729" ht="12.75">
      <c r="E729" s="415"/>
    </row>
    <row r="730" ht="12.75">
      <c r="E730" s="415"/>
    </row>
    <row r="731" ht="12.75">
      <c r="E731" s="415"/>
    </row>
  </sheetData>
  <sheetProtection/>
  <autoFilter ref="E1:E142"/>
  <dataValidations count="10">
    <dataValidation allowBlank="1" showInputMessage="1" showErrorMessage="1" promptTitle="Hesap Grubu" prompt="(1) Maaş (2) SSK (3) İkramiye (4) Süt&#10;(5) Kömür, Taşıma, Kül atma&#10;(6) Asansör Bakım &#10;(7) Elektrik (8) Su&#10;(9) Elektrik Bakım (10) Kalorifer Bakım&#10;(11) Hidrofor Bakım (12) Çeşitli Bakım&#10;(13) Temizlik Malz.&#10;(14) Kırtasiye, Bürokratik&#10;(15) Yol, vs (16) Sair" sqref="E13:E260"/>
    <dataValidation allowBlank="1" showInputMessage="1" showErrorMessage="1" promptTitle="BİLGİ:" prompt="(a) Aidat Gelirleri daire ve dükkanlara ait ekstre sayfalarından, (b) Sair Gelirler: &quot;SairGelir&quot; sayfasından taşınarak toplanmıştır." sqref="C3"/>
    <dataValidation allowBlank="1" showInputMessage="1" showErrorMessage="1" promptTitle="ARSER Asansör San.veTic.Ltd.Şti." prompt="2838 Sokak No:26 &#10;1.Sanayi Sitesi 35110 İzmir&#10;Tel:   (232) 449 59 69 (pbx)&#10;Faks: (232) 449 49 50" sqref="C18 C23 C33"/>
    <dataValidation allowBlank="1" showInputMessage="1" showErrorMessage="1" promptTitle="DEMİRDOĞAN Temizlik İşleri" prompt="İnş. Tic. ve San. Ltd. Şti.&#10;&#10;Vatan Mah. 9248 Sokak&#10;No:39  D:4&#10;Yeşilyurt - İzmir&#10;Tel: 244 98 13&#10;0 532 394 37 63&#10;Kadifekale V.D. 2840038708" sqref="C41"/>
    <dataValidation allowBlank="1" showInputMessage="1" showErrorMessage="1" promptTitle="ARSER Asansör San.veTic.Ltd.Şti." prompt="2838 Sokak No:26 &#10;1.Sanayi Sitesi 35110 İzmir&#10;Tel:   (232) 449 59 69 (pbx)&#10;Faks: (232) 449 49 50&#10;www.arserasansor.com" sqref="C40 C53 C62 C69 C79 C101 C109 C116"/>
    <dataValidation allowBlank="1" showInputMessage="1" showErrorMessage="1" promptTitle="ÇAĞ Isıtma Soğutma Grupları" prompt="Habibe Çavuşoğlu&#10;Mithatpaşa Cad. No:648/B&#10;İzmir&#10;0 232 244 51 39&#10;0 536 920 97 72" sqref="C48"/>
    <dataValidation allowBlank="1" showInputMessage="1" showErrorMessage="1" promptTitle="YERLİKAYA İNŞAAT" prompt="Metin YERLİKAYA&#10;İnşaat - Taahhüt&#10;1202/1 Sokak No. 69/312&#10;Yenişehir - İzmir&#10;(232) 469 65 79&#10;0 554 436 34 59" sqref="C49:C50"/>
    <dataValidation allowBlank="1" showInputMessage="1" showErrorMessage="1" promptTitle="EŞREF DİNÇTÜRK" prompt="İzmir Yakacak Mad. İnş.&#10;Nak. San. ve Tic. Ltd. Şti.&#10;108 Sokak, No:7&#10;BUCA-İZMİR&#10;420 04 97 İş&#10;0 532 321 31 26 gsm" sqref="C54 C80 C87 C92"/>
    <dataValidation allowBlank="1" showInputMessage="1" showErrorMessage="1" promptTitle="Ramazan Usta" prompt="0 532 641 52 22&#10;İzmir" sqref="C70 C99"/>
    <dataValidation allowBlank="1" showInputMessage="1" showErrorMessage="1" promptTitle="ERCAN ELEKTRİK" prompt="Elektrik Tamirat, Tadilat,Arıza,&#10;Telefon ve Televizyon Kablo çekimi&#10;Apartman Konuşma Sistemi, Onarım&#10;İşleri&#10;Bilal Habeş SAĞLAM&#10;0 532 672 19 48&#10;Mustafa ERCAN&#10;0 532 345 27 22&#10;TEL: 463 66 93&#10;1332 (Gül) Sokak, No:28/C&#10;Alsancak-İZMİR" sqref="C117 C120"/>
  </dataValidations>
  <hyperlinks>
    <hyperlink ref="C75" location="Su_Oca.08!A1" display="IZSU Apt. Ortak Su Parası Ocak.2008"/>
    <hyperlink ref="C68" location="Su_Ara.07!A1" display="IZSU Apt. Ortak Su Parası Aralık.2007"/>
    <hyperlink ref="C58" location="Su_Ek_Kas.07!A1" display="IZSU Apt. Ortak Su Parası Ekim-Kasım.2007"/>
    <hyperlink ref="C38" location="Su_Eyl.07!A1" display="IZSU Apt. Ortak Su Parası Eylül.2007"/>
    <hyperlink ref="C30" location="Su_Ağus.07!A1" display="IZSU Apt. Ortak Su Parası Ağustos.2007"/>
    <hyperlink ref="C21" location="Su_Tem.07!A1" display="IZSU Apt. Ortak Su Parası Temmuz.2007"/>
    <hyperlink ref="C15" location="Su_Haz.07!A1" display="IZSU Apt. Ortak Su Parası Haziran.2007"/>
    <hyperlink ref="C89" location="Su_Şub.08!Yazdırma_Alanı" display="IZSU Apt. Ortak Su Parası Ocak.2008"/>
    <hyperlink ref="C106" location="Su_Mart.08!Yazdırma_Alanı" display="IZSU Apt. Ortak Su Parası Mart.2008"/>
    <hyperlink ref="C113" location="Su_Nisan.08!Yazdırma_Alanı" display="IZSU Apt. Ortak Su Parası Nisan.2008"/>
    <hyperlink ref="C123" location="Su_Nisan.08!Yazdırma_Alanı" display="IZSU Apt. Ortak Su Parası Nisan.2008"/>
  </hyperlinks>
  <printOptions gridLines="1" horizontalCentered="1" verticalCentered="1"/>
  <pageMargins left="0.35433070866141736" right="0" top="0.3937007874015748" bottom="0.3937007874015748" header="0" footer="0.5118110236220472"/>
  <pageSetup blackAndWhite="1"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9">
    <tabColor indexed="41"/>
    <pageSetUpPr fitToPage="1"/>
  </sheetPr>
  <dimension ref="A1:I95"/>
  <sheetViews>
    <sheetView zoomScale="85" zoomScaleNormal="85" workbookViewId="0" topLeftCell="A1">
      <selection activeCell="D8" sqref="D8"/>
    </sheetView>
  </sheetViews>
  <sheetFormatPr defaultColWidth="9.140625" defaultRowHeight="12.75"/>
  <cols>
    <col min="1" max="1" width="11.57421875" style="3" customWidth="1"/>
    <col min="2" max="2" width="23.28125" style="0" customWidth="1"/>
    <col min="3" max="3" width="16.8515625" style="4" customWidth="1"/>
    <col min="4" max="4" width="5.8515625" style="0" customWidth="1"/>
    <col min="5" max="5" width="11.57421875" style="3" customWidth="1"/>
    <col min="6" max="6" width="22.7109375" style="0" bestFit="1" customWidth="1"/>
    <col min="7" max="7" width="17.7109375" style="0" customWidth="1"/>
    <col min="8" max="8" width="11.57421875" style="0" bestFit="1" customWidth="1"/>
    <col min="9" max="9" width="18.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2</v>
      </c>
      <c r="B2" s="402" t="str">
        <f>Ref!B25</f>
        <v>M. Çağrı OKUR</v>
      </c>
      <c r="C2" s="48"/>
      <c r="D2" s="26"/>
      <c r="E2" s="49"/>
      <c r="F2" s="43"/>
      <c r="G2" s="67" t="s">
        <v>8</v>
      </c>
      <c r="H2" s="124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39251</v>
      </c>
      <c r="B6" s="466" t="s">
        <v>330</v>
      </c>
      <c r="C6" s="409">
        <v>140</v>
      </c>
      <c r="D6" s="52"/>
      <c r="E6" s="3">
        <f>Ref!A8</f>
        <v>39239</v>
      </c>
      <c r="F6" s="3" t="str">
        <f>Ref!B8</f>
        <v>Devreden Borç</v>
      </c>
      <c r="G6" s="242">
        <v>280</v>
      </c>
      <c r="H6" s="217"/>
      <c r="I6" s="234">
        <f>SUM(G6:H6)</f>
        <v>280</v>
      </c>
    </row>
    <row r="7" spans="1:9" ht="12.75">
      <c r="A7" s="452">
        <v>39360</v>
      </c>
      <c r="B7" s="466" t="s">
        <v>423</v>
      </c>
      <c r="C7" s="465">
        <v>590</v>
      </c>
      <c r="D7" s="52"/>
      <c r="E7" s="3">
        <f>Ref!A9</f>
        <v>39264</v>
      </c>
      <c r="F7" s="3" t="str">
        <f>Ref!B9</f>
        <v>Temmuz-2007 Ödentisi</v>
      </c>
      <c r="G7" s="235">
        <f>IF(Ref!$B$1&gt;=Ref!$A9,Ref!C9,0)</f>
        <v>150</v>
      </c>
      <c r="H7" s="243">
        <f>(IF(Ref!$B$1&gt;=Ref!$A9,Ref!D9,0))*1</f>
        <v>0</v>
      </c>
      <c r="I7" s="234">
        <f>SUM(G7:H7)</f>
        <v>150</v>
      </c>
    </row>
    <row r="8" spans="1:9" ht="12.75">
      <c r="A8" s="452">
        <v>39517</v>
      </c>
      <c r="B8" s="466" t="s">
        <v>328</v>
      </c>
      <c r="C8" s="465">
        <v>817</v>
      </c>
      <c r="D8" s="52"/>
      <c r="E8" s="3">
        <f>Ref!A10</f>
        <v>39295</v>
      </c>
      <c r="F8" s="3" t="str">
        <f>Ref!B10</f>
        <v>Ağustos-2007 Ödentisi</v>
      </c>
      <c r="G8" s="243">
        <f>(IF(Ref!$B$1&gt;=Ref!$A10,Ref!C10,0))*1</f>
        <v>150</v>
      </c>
      <c r="H8" s="243">
        <f>(IF(Ref!$B$1&gt;=Ref!$A10,Ref!D10,0))*1</f>
        <v>0</v>
      </c>
      <c r="I8" s="234">
        <f aca="true" t="shared" si="0" ref="I8:I19">SUM(G8:H8)</f>
        <v>150</v>
      </c>
    </row>
    <row r="9" spans="1:9" ht="12.75">
      <c r="A9" s="452"/>
      <c r="B9" s="466"/>
      <c r="C9" s="465"/>
      <c r="D9" s="52"/>
      <c r="E9" s="3">
        <f>Ref!A11</f>
        <v>39326</v>
      </c>
      <c r="F9" s="3" t="str">
        <f>Ref!B11</f>
        <v>Eylül-2007 Ödentisi</v>
      </c>
      <c r="G9" s="243">
        <f>(IF(Ref!$B$1&gt;=Ref!$A11,Ref!C11,0))*1</f>
        <v>150</v>
      </c>
      <c r="H9" s="243">
        <f>(IF(Ref!$B$1&gt;=Ref!$A11,Ref!D11,0))*1</f>
        <v>0</v>
      </c>
      <c r="I9" s="234">
        <f t="shared" si="0"/>
        <v>150</v>
      </c>
    </row>
    <row r="10" spans="1:9" ht="12.75">
      <c r="A10" s="452"/>
      <c r="B10" s="466"/>
      <c r="C10" s="465"/>
      <c r="D10" s="52"/>
      <c r="E10" s="3">
        <f>Ref!A12</f>
        <v>39356</v>
      </c>
      <c r="F10" s="3" t="str">
        <f>Ref!B12</f>
        <v>Ekim-2007 Ödentisi</v>
      </c>
      <c r="G10" s="243">
        <f>(IF(Ref!$B$1&gt;=Ref!$A12,Ref!C12,0))*1</f>
        <v>150</v>
      </c>
      <c r="H10" s="243">
        <f>(IF(Ref!$B$1&gt;=Ref!$A12,Ref!D12,0))*1</f>
        <v>0</v>
      </c>
      <c r="I10" s="234">
        <f t="shared" si="0"/>
        <v>150</v>
      </c>
    </row>
    <row r="11" spans="1:9" ht="12.75">
      <c r="A11" s="452"/>
      <c r="B11" s="466"/>
      <c r="C11" s="465"/>
      <c r="D11" s="52"/>
      <c r="E11" s="3">
        <f>Ref!A13</f>
        <v>39387</v>
      </c>
      <c r="F11" s="3" t="str">
        <f>Ref!B13</f>
        <v>Kasım-2007 Ödentisi</v>
      </c>
      <c r="G11" s="243">
        <f>(IF(Ref!$B$1&gt;=Ref!$A13,Ref!C13,0))*1</f>
        <v>150</v>
      </c>
      <c r="H11" s="243">
        <f>(IF(Ref!$B$1&gt;=Ref!$A13,Ref!D13,0))*1</f>
        <v>0</v>
      </c>
      <c r="I11" s="234">
        <f t="shared" si="0"/>
        <v>150</v>
      </c>
    </row>
    <row r="12" spans="1:9" ht="12.75">
      <c r="A12" s="452"/>
      <c r="B12" s="466"/>
      <c r="C12" s="465"/>
      <c r="D12" s="52"/>
      <c r="E12" s="3">
        <f>Ref!A14</f>
        <v>39417</v>
      </c>
      <c r="F12" s="3" t="str">
        <f>Ref!B14</f>
        <v>Aralık-2007 Ödentisi</v>
      </c>
      <c r="G12" s="243">
        <f>(IF(Ref!$B$1&gt;=Ref!$A14,Ref!C14,0))*1</f>
        <v>150</v>
      </c>
      <c r="H12" s="243">
        <f>(IF(Ref!$B$1&gt;=Ref!$A14,Ref!D14,0))*1</f>
        <v>0</v>
      </c>
      <c r="I12" s="234">
        <f t="shared" si="0"/>
        <v>150</v>
      </c>
    </row>
    <row r="13" spans="1:9" ht="12.75">
      <c r="A13" s="452"/>
      <c r="B13" s="466"/>
      <c r="C13" s="465"/>
      <c r="D13" s="52"/>
      <c r="E13" s="3">
        <f>Ref!A15</f>
        <v>39448</v>
      </c>
      <c r="F13" s="3" t="str">
        <f>Ref!B15</f>
        <v>Ocak-2008 Ödentisi</v>
      </c>
      <c r="G13" s="243">
        <f>(IF(Ref!$B$1&gt;=Ref!$A15,Ref!C15,0))*1</f>
        <v>150</v>
      </c>
      <c r="H13" s="243">
        <f>(IF(Ref!$B$1&gt;=Ref!$A15,Ref!D15,0))*1</f>
        <v>0</v>
      </c>
      <c r="I13" s="234">
        <f t="shared" si="0"/>
        <v>150</v>
      </c>
    </row>
    <row r="14" spans="1:9" ht="12.75">
      <c r="A14" s="452"/>
      <c r="B14" s="466"/>
      <c r="C14" s="465"/>
      <c r="D14" s="52"/>
      <c r="E14" s="3">
        <f>Ref!A16</f>
        <v>39479</v>
      </c>
      <c r="F14" s="3" t="str">
        <f>Ref!B16</f>
        <v>Şubat-2008 Ödentisi</v>
      </c>
      <c r="G14" s="243">
        <f>(IF(Ref!$B$1&gt;=Ref!$A16,Ref!C16,0))*1</f>
        <v>150</v>
      </c>
      <c r="H14" s="243">
        <v>66.81</v>
      </c>
      <c r="I14" s="234">
        <f t="shared" si="0"/>
        <v>216.81</v>
      </c>
    </row>
    <row r="15" spans="1:9" ht="12.75">
      <c r="A15" s="452"/>
      <c r="B15" s="466"/>
      <c r="C15" s="465"/>
      <c r="D15" s="52"/>
      <c r="E15" s="3">
        <f>Ref!A17</f>
        <v>39508</v>
      </c>
      <c r="F15" s="3" t="str">
        <f>Ref!B17</f>
        <v>Mart-2008 Ödentisi</v>
      </c>
      <c r="G15" s="243">
        <f>(IF(Ref!$B$1&gt;=Ref!$A17,Ref!C17,0))*1</f>
        <v>150</v>
      </c>
      <c r="H15" s="243">
        <f>(IF(Ref!$B$1&gt;=Ref!$A17,Ref!D17,0))*1</f>
        <v>0</v>
      </c>
      <c r="I15" s="234">
        <f t="shared" si="0"/>
        <v>150</v>
      </c>
    </row>
    <row r="16" spans="1:9" ht="12.75">
      <c r="A16" s="452"/>
      <c r="B16" s="466"/>
      <c r="C16" s="465"/>
      <c r="D16" s="52"/>
      <c r="E16" s="3">
        <f>Ref!A18</f>
        <v>39539</v>
      </c>
      <c r="F16" s="3" t="str">
        <f>Ref!B18</f>
        <v>Nisan-2008 Ödentisi</v>
      </c>
      <c r="G16" s="243">
        <f>(IF(Ref!$B$1&gt;=Ref!$A18,Ref!C18,0))*1</f>
        <v>150</v>
      </c>
      <c r="H16" s="243">
        <f>(IF(Ref!$B$1&gt;=Ref!$A18,Ref!D18,0))*1</f>
        <v>0</v>
      </c>
      <c r="I16" s="234">
        <f t="shared" si="0"/>
        <v>150</v>
      </c>
    </row>
    <row r="17" spans="1:9" ht="12.75">
      <c r="A17" s="452"/>
      <c r="B17" s="466"/>
      <c r="C17" s="465"/>
      <c r="D17" s="52"/>
      <c r="E17" s="3">
        <f>Ref!A19</f>
        <v>39569</v>
      </c>
      <c r="F17" s="3" t="str">
        <f>Ref!B19</f>
        <v>Mayıs-2008 Ödentisi</v>
      </c>
      <c r="G17" s="243">
        <f>(IF(Ref!$B$1&gt;=Ref!$A19,Ref!C19,0))*1</f>
        <v>150</v>
      </c>
      <c r="H17" s="243">
        <f>(IF(Ref!$B$1&gt;=Ref!$A19,Ref!D19,0))*1</f>
        <v>0</v>
      </c>
      <c r="I17" s="234">
        <f t="shared" si="0"/>
        <v>150</v>
      </c>
    </row>
    <row r="18" spans="1:9" ht="12.75">
      <c r="A18" s="452"/>
      <c r="B18" s="466"/>
      <c r="C18" s="465"/>
      <c r="D18" s="52"/>
      <c r="E18" s="3">
        <f>Ref!A20</f>
        <v>39600</v>
      </c>
      <c r="F18" s="3" t="str">
        <f>Ref!B20</f>
        <v>Haziran-2008 Ödentisi</v>
      </c>
      <c r="G18" s="243">
        <f>(IF(Ref!$B$1&gt;=Ref!$A20,Ref!C20,0))*1</f>
        <v>0</v>
      </c>
      <c r="H18" s="243">
        <f>(IF(Ref!$B$1&gt;=Ref!$A20,Ref!D20,0))*1</f>
        <v>0</v>
      </c>
      <c r="I18" s="234">
        <f t="shared" si="0"/>
        <v>0</v>
      </c>
    </row>
    <row r="19" spans="1:9" ht="12.75">
      <c r="A19" s="452"/>
      <c r="B19" s="466"/>
      <c r="C19" s="465"/>
      <c r="D19" s="52"/>
      <c r="E19" s="3">
        <f>Ref!A21</f>
        <v>39630</v>
      </c>
      <c r="F19" s="3" t="str">
        <f>Ref!B21</f>
        <v>Temmuz-2008 Ödentisi</v>
      </c>
      <c r="G19" s="243">
        <f>(IF(Ref!$B$1&gt;=Ref!$A21,Ref!C21,0))*1</f>
        <v>0</v>
      </c>
      <c r="H19" s="243">
        <f>(IF(Ref!$B$1&gt;=Ref!$A21,Ref!D21,0))*1</f>
        <v>0</v>
      </c>
      <c r="I19" s="234">
        <f t="shared" si="0"/>
        <v>0</v>
      </c>
    </row>
    <row r="20" spans="1:9" ht="13.5" thickBot="1">
      <c r="A20" s="452"/>
      <c r="B20" s="466"/>
      <c r="C20" s="465"/>
      <c r="D20" s="52"/>
      <c r="F20" s="3"/>
      <c r="G20" s="236"/>
      <c r="H20" s="236"/>
      <c r="I20" s="234"/>
    </row>
    <row r="21" spans="1:9" ht="14.25" thickBot="1" thickTop="1">
      <c r="A21" s="83"/>
      <c r="B21" s="84" t="s">
        <v>11</v>
      </c>
      <c r="C21" s="241">
        <f>SUM(C6:C20)</f>
        <v>1547</v>
      </c>
      <c r="D21" s="51"/>
      <c r="E21" s="83"/>
      <c r="F21" s="84" t="s">
        <v>62</v>
      </c>
      <c r="G21" s="244">
        <f>SUM(G6:G19)</f>
        <v>1930</v>
      </c>
      <c r="H21" s="244">
        <f>SUM(H6:H19)</f>
        <v>66.81</v>
      </c>
      <c r="I21" s="245">
        <f>SUM(I6:I20)</f>
        <v>1996.81</v>
      </c>
    </row>
    <row r="22" spans="1:9" ht="12.75">
      <c r="A22" s="35"/>
      <c r="B22" s="36"/>
      <c r="C22" s="37"/>
      <c r="D22" s="26"/>
      <c r="E22" s="35"/>
      <c r="F22" s="36"/>
      <c r="G22" s="38"/>
      <c r="H22" s="38"/>
      <c r="I22" s="39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2.75">
      <c r="A25" s="123" t="str">
        <f>IF(Ref!$B$1&lt;Ref!$A9,Ref!A9,"-")</f>
        <v>-</v>
      </c>
      <c r="B25" s="240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.75">
      <c r="A26" s="123" t="str">
        <f>IF(Ref!$B$1&lt;Ref!$A10,Ref!A10,"-")</f>
        <v>-</v>
      </c>
      <c r="B26" s="240" t="str">
        <f>IF(Ref!$B$1&lt;Ref!$A10,Ref!D10,"-")</f>
        <v>-</v>
      </c>
      <c r="C26" s="54"/>
      <c r="D26" s="29"/>
      <c r="E26" s="28"/>
      <c r="F26" s="64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5.75">
      <c r="A27" s="123" t="str">
        <f>IF(Ref!$B$1&lt;Ref!$A11,Ref!A11,"-")</f>
        <v>-</v>
      </c>
      <c r="B27" s="246" t="str">
        <f>IF(Ref!$B$1&lt;Ref!$A11,Ref!D11,"-")</f>
        <v>-</v>
      </c>
      <c r="C27" s="54"/>
      <c r="D27" s="29"/>
      <c r="E27" s="28"/>
      <c r="F27" s="239">
        <f>C21-I21</f>
        <v>-449.80999999999995</v>
      </c>
      <c r="G27" s="40"/>
      <c r="H27" s="56"/>
      <c r="I27" s="27"/>
    </row>
    <row r="28" spans="1:9" ht="12.75">
      <c r="A28" s="123" t="str">
        <f>IF(Ref!$B$1&lt;Ref!$A12,Ref!A12,"-")</f>
        <v>-</v>
      </c>
      <c r="B28" s="246" t="str">
        <f>IF(Ref!$B$1&lt;Ref!$A12,Ref!D12,"-")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123" t="str">
        <f>IF(Ref!$B$1&lt;Ref!$A13,Ref!A13,"-")</f>
        <v>-</v>
      </c>
      <c r="B29" s="246" t="str">
        <f>IF(Ref!$B$1&lt;Ref!$A13,Ref!D13,"-")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123" t="str">
        <f>IF(Ref!$B$1&lt;Ref!$A14,Ref!A14,"-")</f>
        <v>-</v>
      </c>
      <c r="B30" s="246" t="str">
        <f>IF(Ref!$B$1&lt;Ref!$A14,Ref!D14,"-")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123" t="str">
        <f>IF(Ref!$B$1&lt;Ref!$A15,Ref!A15,"-")</f>
        <v>-</v>
      </c>
      <c r="B31" s="246" t="str">
        <f>IF(Ref!$B$1&lt;Ref!$A15,Ref!D15,"-")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123" t="str">
        <f>IF(Ref!$B$1&lt;Ref!$A16,Ref!A16,"-")</f>
        <v>-</v>
      </c>
      <c r="B32" s="246" t="str">
        <f>IF(Ref!$B$1&lt;Ref!$A16,Ref!D16,"-")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123" t="str">
        <f>IF(Ref!$B$1&lt;Ref!$A17,Ref!A17,"-")</f>
        <v>-</v>
      </c>
      <c r="B33" s="246" t="str">
        <f>IF(Ref!$B$1&lt;Ref!$A17,Ref!D17,"-")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123" t="str">
        <f>IF(Ref!$B$1&lt;Ref!$A18,Ref!A18,"-")</f>
        <v>-</v>
      </c>
      <c r="B34" s="246" t="str">
        <f>IF(Ref!$B$1&lt;Ref!$A18,Ref!D18,"-")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123" t="str">
        <f>IF(Ref!$B$1&lt;Ref!$A19,Ref!A19,"-")</f>
        <v>-</v>
      </c>
      <c r="B35" s="246" t="str">
        <f>IF(Ref!$B$1&lt;Ref!$A19,Ref!D19,"-")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2.75">
      <c r="A36" s="123">
        <f>IF(Ref!$B$1&lt;Ref!$A20,Ref!A20,"-")</f>
        <v>39600</v>
      </c>
      <c r="B36" s="246">
        <f>IF(Ref!$B$1&lt;Ref!$A20,Ref!D20,"-")</f>
        <v>0</v>
      </c>
      <c r="C36" s="54"/>
      <c r="D36" s="80" t="s">
        <v>98</v>
      </c>
      <c r="E36" s="49"/>
      <c r="F36" s="81"/>
      <c r="G36" s="40"/>
      <c r="H36" s="56"/>
      <c r="I36" s="27"/>
    </row>
    <row r="37" spans="1:9" ht="12.75">
      <c r="A37" s="123">
        <f>IF(Ref!$B$1&lt;Ref!$A21,Ref!A21,"-")</f>
        <v>39630</v>
      </c>
      <c r="B37" s="246">
        <f>IF(Ref!$B$1&lt;Ref!$A21,Ref!D21,"-")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F39" s="122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0">
    <tabColor indexed="42"/>
    <pageSetUpPr fitToPage="1"/>
  </sheetPr>
  <dimension ref="A1:I95"/>
  <sheetViews>
    <sheetView zoomScale="85" zoomScaleNormal="85" workbookViewId="0" topLeftCell="A1">
      <selection activeCell="C16" sqref="C16"/>
    </sheetView>
  </sheetViews>
  <sheetFormatPr defaultColWidth="9.140625" defaultRowHeight="12.75"/>
  <cols>
    <col min="1" max="1" width="11.57421875" style="3" customWidth="1"/>
    <col min="2" max="2" width="22.8515625" style="0" customWidth="1"/>
    <col min="3" max="3" width="17.421875" style="4" customWidth="1"/>
    <col min="4" max="4" width="5.8515625" style="0" customWidth="1"/>
    <col min="5" max="5" width="11.57421875" style="3" customWidth="1"/>
    <col min="6" max="6" width="22.28125" style="0" customWidth="1"/>
    <col min="7" max="7" width="18.00390625" style="0" customWidth="1"/>
    <col min="8" max="8" width="11.57421875" style="0" bestFit="1" customWidth="1"/>
    <col min="9" max="9" width="16.8515625" style="2" customWidth="1"/>
  </cols>
  <sheetData>
    <row r="1" spans="1:8" ht="15">
      <c r="A1" s="19" t="s">
        <v>63</v>
      </c>
      <c r="B1" s="93" t="s">
        <v>12</v>
      </c>
      <c r="C1" s="54"/>
      <c r="D1" s="26"/>
      <c r="E1" s="35"/>
      <c r="F1" s="26"/>
      <c r="H1" s="63"/>
    </row>
    <row r="2" spans="1:9" ht="33">
      <c r="A2" s="21">
        <v>3</v>
      </c>
      <c r="B2" s="95" t="str">
        <f>Ref!B26</f>
        <v>Nihat BABAOĞLU</v>
      </c>
      <c r="C2" s="94"/>
      <c r="D2" s="26"/>
      <c r="E2" s="49"/>
      <c r="F2" s="43"/>
      <c r="G2" s="67" t="s">
        <v>8</v>
      </c>
      <c r="H2" s="124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39280</v>
      </c>
      <c r="B6" s="3" t="s">
        <v>352</v>
      </c>
      <c r="C6" s="409">
        <v>140</v>
      </c>
      <c r="D6" s="52"/>
      <c r="E6" s="3">
        <f>Ref!A8</f>
        <v>39239</v>
      </c>
      <c r="F6" s="3" t="str">
        <f>Ref!B8</f>
        <v>Devreden Borç</v>
      </c>
      <c r="G6" s="510">
        <v>0</v>
      </c>
      <c r="H6" s="217"/>
      <c r="I6" s="234">
        <f>SUM(G6:H6)</f>
        <v>0</v>
      </c>
    </row>
    <row r="7" spans="1:9" ht="12.75">
      <c r="A7" s="452">
        <v>39302</v>
      </c>
      <c r="B7" s="452" t="s">
        <v>372</v>
      </c>
      <c r="C7" s="409">
        <v>140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IF(Ref!$B$1&gt;=Ref!$A9,Ref!E9,0)</f>
        <v>140</v>
      </c>
      <c r="H7" s="236">
        <f>IF(Ref!$B$1&gt;=Ref!$A9,Ref!F9,0)</f>
        <v>0</v>
      </c>
      <c r="I7" s="234">
        <f>SUM(G7:H7)</f>
        <v>140</v>
      </c>
    </row>
    <row r="8" spans="1:9" ht="12.75">
      <c r="A8" s="452">
        <v>39335</v>
      </c>
      <c r="B8" s="452" t="s">
        <v>398</v>
      </c>
      <c r="C8" s="409">
        <v>140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IF(Ref!$B$1&gt;=Ref!$A10,Ref!E10,0)</f>
        <v>140</v>
      </c>
      <c r="H8" s="236">
        <f>IF(Ref!$B$1&gt;=Ref!$A10,Ref!F10,0)</f>
        <v>0</v>
      </c>
      <c r="I8" s="234">
        <f aca="true" t="shared" si="0" ref="I8:I19">SUM(G8:H8)</f>
        <v>140</v>
      </c>
    </row>
    <row r="9" spans="1:9" ht="12.75">
      <c r="A9" s="452">
        <v>39363</v>
      </c>
      <c r="B9" s="452" t="s">
        <v>428</v>
      </c>
      <c r="C9" s="409">
        <v>140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IF(Ref!$B$1&gt;=Ref!$A11,Ref!E11,0)</f>
        <v>140</v>
      </c>
      <c r="H9" s="236">
        <f>IF(Ref!$B$1&gt;=Ref!$A11,Ref!F11,0)</f>
        <v>0</v>
      </c>
      <c r="I9" s="234">
        <f t="shared" si="0"/>
        <v>140</v>
      </c>
    </row>
    <row r="10" spans="1:9" ht="12.75">
      <c r="A10" s="452">
        <v>39412</v>
      </c>
      <c r="B10" s="452" t="s">
        <v>468</v>
      </c>
      <c r="C10" s="409">
        <v>150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IF(Ref!$B$1&gt;=Ref!$A12,Ref!E12,0)</f>
        <v>140</v>
      </c>
      <c r="H10" s="236">
        <f>IF(Ref!$B$1&gt;=Ref!$A12,Ref!F12,0)</f>
        <v>0</v>
      </c>
      <c r="I10" s="234">
        <f t="shared" si="0"/>
        <v>140</v>
      </c>
    </row>
    <row r="11" spans="1:9" ht="12.75">
      <c r="A11" s="452">
        <v>39423</v>
      </c>
      <c r="B11" s="452" t="s">
        <v>483</v>
      </c>
      <c r="C11" s="409">
        <v>130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IF(Ref!$B$1&gt;=Ref!$A13,Ref!E13,0)</f>
        <v>140</v>
      </c>
      <c r="H11" s="236">
        <f>IF(Ref!$B$1&gt;=Ref!$A13,Ref!F13,0)</f>
        <v>0</v>
      </c>
      <c r="I11" s="234">
        <f t="shared" si="0"/>
        <v>140</v>
      </c>
    </row>
    <row r="12" spans="1:9" ht="12.75">
      <c r="A12" s="452">
        <v>39458</v>
      </c>
      <c r="B12" s="452" t="s">
        <v>559</v>
      </c>
      <c r="C12" s="409">
        <v>140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IF(Ref!$B$1&gt;=Ref!$A14,Ref!E14,0)</f>
        <v>140</v>
      </c>
      <c r="H12" s="236">
        <f>IF(Ref!$B$1&gt;=Ref!$A14,Ref!F14,0)</f>
        <v>0</v>
      </c>
      <c r="I12" s="234">
        <f t="shared" si="0"/>
        <v>140</v>
      </c>
    </row>
    <row r="13" spans="1:9" ht="12.75">
      <c r="A13" s="452">
        <v>39492</v>
      </c>
      <c r="B13" s="452" t="s">
        <v>560</v>
      </c>
      <c r="C13" s="409">
        <v>140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IF(Ref!$B$1&gt;=Ref!$A15,Ref!E15,0)</f>
        <v>140</v>
      </c>
      <c r="H13" s="236">
        <f>IF(Ref!$B$1&gt;=Ref!$A15,Ref!F15,0)</f>
        <v>0</v>
      </c>
      <c r="I13" s="234">
        <f t="shared" si="0"/>
        <v>140</v>
      </c>
    </row>
    <row r="14" spans="1:9" ht="12.75">
      <c r="A14" s="452">
        <v>39514</v>
      </c>
      <c r="B14" s="452" t="s">
        <v>594</v>
      </c>
      <c r="C14" s="409">
        <v>140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IF(Ref!$B$1&gt;=Ref!$A16,Ref!E16,0)</f>
        <v>140</v>
      </c>
      <c r="H14" s="236">
        <f>IF(Ref!$B$1&gt;=Ref!$A16,Ref!F16,0)</f>
        <v>0</v>
      </c>
      <c r="I14" s="234">
        <f t="shared" si="0"/>
        <v>140</v>
      </c>
    </row>
    <row r="15" spans="1:9" ht="12.75">
      <c r="A15" s="452">
        <v>39563</v>
      </c>
      <c r="B15" s="452" t="s">
        <v>595</v>
      </c>
      <c r="C15" s="409">
        <v>140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IF(Ref!$B$1&gt;=Ref!$A17,Ref!E17,0)</f>
        <v>140</v>
      </c>
      <c r="H15" s="236">
        <f>IF(Ref!$B$1&gt;=Ref!$A17,Ref!F17,0)</f>
        <v>0</v>
      </c>
      <c r="I15" s="234">
        <f t="shared" si="0"/>
        <v>140</v>
      </c>
    </row>
    <row r="16" spans="1:9" ht="12.75">
      <c r="A16" s="452">
        <v>39576</v>
      </c>
      <c r="B16" s="452" t="s">
        <v>610</v>
      </c>
      <c r="C16" s="409">
        <v>140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IF(Ref!$B$1&gt;=Ref!$A18,Ref!E18,0)</f>
        <v>140</v>
      </c>
      <c r="H16" s="236">
        <f>IF(Ref!$B$1&gt;=Ref!$A18,Ref!F18,0)</f>
        <v>0</v>
      </c>
      <c r="I16" s="234">
        <f t="shared" si="0"/>
        <v>140</v>
      </c>
    </row>
    <row r="17" spans="1:9" ht="12.75">
      <c r="A17" s="452"/>
      <c r="B17" s="466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IF(Ref!$B$1&gt;=Ref!$A19,Ref!E19,0)</f>
        <v>140</v>
      </c>
      <c r="H17" s="236">
        <f>IF(Ref!$B$1&gt;=Ref!$A19,Ref!F19,0)</f>
        <v>0</v>
      </c>
      <c r="I17" s="234">
        <f t="shared" si="0"/>
        <v>140</v>
      </c>
    </row>
    <row r="18" spans="1:9" ht="12.75">
      <c r="A18" s="452"/>
      <c r="B18" s="466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IF(Ref!$B$1&gt;=Ref!$A20,Ref!E20,0)</f>
        <v>0</v>
      </c>
      <c r="H18" s="236">
        <f>IF(Ref!$B$1&gt;=Ref!$A20,Ref!F20,0)</f>
        <v>0</v>
      </c>
      <c r="I18" s="234">
        <f t="shared" si="0"/>
        <v>0</v>
      </c>
    </row>
    <row r="19" spans="1:9" ht="12.75">
      <c r="A19" s="452"/>
      <c r="B19" s="466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IF(Ref!$B$1&gt;=Ref!$A21,Ref!E21,0)</f>
        <v>0</v>
      </c>
      <c r="H19" s="236">
        <f>IF(Ref!$B$1&gt;=Ref!$A21,Ref!F21,0)</f>
        <v>0</v>
      </c>
      <c r="I19" s="234">
        <f t="shared" si="0"/>
        <v>0</v>
      </c>
    </row>
    <row r="20" spans="1:9" ht="13.5" thickBot="1">
      <c r="A20" s="452"/>
      <c r="B20" s="466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1540</v>
      </c>
      <c r="D21" s="51"/>
      <c r="F21" s="8" t="s">
        <v>62</v>
      </c>
      <c r="G21" s="237">
        <f>SUM(G6:G19)</f>
        <v>1540</v>
      </c>
      <c r="H21" s="237">
        <f>SUM(H6:H19)</f>
        <v>0</v>
      </c>
      <c r="I21" s="238">
        <f>SUM(I6:I20)</f>
        <v>1540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60"/>
      <c r="G24" s="40"/>
      <c r="H24" s="29"/>
      <c r="I24" s="41"/>
    </row>
    <row r="25" spans="1:9" ht="12.75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IF(Ref!$B$1&lt;Ref!$A10,Ref!F10,"-")</f>
        <v>-</v>
      </c>
      <c r="C26" s="54"/>
      <c r="D26" s="29"/>
      <c r="E26" s="28"/>
      <c r="F26" s="64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5.75">
      <c r="A27" s="20" t="str">
        <f>IF(Ref!$B$1&lt;Ref!$A11,Ref!A11,"-")</f>
        <v>-</v>
      </c>
      <c r="B27" s="246" t="str">
        <f>IF(Ref!$B$1&lt;Ref!$A11,Ref!F11,"-")</f>
        <v>-</v>
      </c>
      <c r="C27" s="54"/>
      <c r="D27" s="29"/>
      <c r="E27" s="28"/>
      <c r="F27" s="239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IF(Ref!$B$1&lt;Ref!$A12,Ref!F12,"-")</f>
        <v>-</v>
      </c>
      <c r="C28" s="54"/>
      <c r="D28" s="29"/>
      <c r="E28" s="28"/>
      <c r="F28" s="88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IF(Ref!$B$1&lt;Ref!$A13,Ref!F13,"-")</f>
        <v>-</v>
      </c>
      <c r="C29" s="54"/>
      <c r="D29" s="29"/>
      <c r="E29" s="28"/>
      <c r="F29" s="29"/>
      <c r="G29" s="40"/>
      <c r="H29" s="56"/>
      <c r="I29" s="27"/>
    </row>
    <row r="30" spans="1:9" ht="13.5" thickBot="1">
      <c r="A30" s="20" t="str">
        <f>IF(Ref!$B$1&lt;Ref!$A14,Ref!A14,"-")</f>
        <v>-</v>
      </c>
      <c r="B30" s="246" t="str">
        <f>IF(Ref!$B$1&lt;Ref!$A14,Ref!F14,"-")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IF(Ref!$B$1&lt;Ref!$A15,Ref!F15,"-")</f>
        <v>-</v>
      </c>
      <c r="C31" s="54"/>
      <c r="D31" s="90" t="s">
        <v>93</v>
      </c>
      <c r="E31" s="91"/>
      <c r="F31" s="92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IF(Ref!$B$1&lt;Ref!$A16,Ref!F16,"-")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IF(Ref!$B$1&lt;Ref!$A17,Ref!F17,"-")</f>
        <v>-</v>
      </c>
      <c r="C33" s="54"/>
      <c r="D33" s="74" t="s">
        <v>95</v>
      </c>
      <c r="E33" s="35"/>
      <c r="F33" s="8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IF(Ref!$B$1&lt;Ref!$A18,Ref!F18,"-")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IF(Ref!$B$1&lt;Ref!$A19,Ref!F19,"-")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IF(Ref!$B$1&lt;Ref!$A20,Ref!F20,"-")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IF(Ref!$B$1&lt;Ref!$A21,Ref!F21,"-")</f>
        <v>0</v>
      </c>
      <c r="C37" s="54"/>
      <c r="D37" s="29"/>
      <c r="E37" s="28"/>
      <c r="F37" s="29"/>
      <c r="G37" s="40"/>
      <c r="H37" s="56"/>
      <c r="I37" s="27"/>
    </row>
    <row r="38" spans="1:9" ht="12.75">
      <c r="A38"/>
      <c r="B38" s="217"/>
      <c r="D38" s="29"/>
      <c r="E38" s="28"/>
      <c r="F38" s="29"/>
      <c r="G38" s="4"/>
      <c r="H38" s="56"/>
      <c r="I38" s="41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" r:id="rId18" display="=@IF(G1&gt;H1,&quot;*&quot;,&quot;-&quot;)"/>
    <hyperlink ref="B28" r:id="rId19" display="=@IF(G1&gt;H1,&quot;*&quot;,&quot;-&quot;)"/>
    <hyperlink ref="B29" r:id="rId20" display="=@IF(G1&gt;H1,&quot;*&quot;,&quot;-&quot;)"/>
    <hyperlink ref="B30" r:id="rId21" display="=@IF(G1&gt;H1,&quot;*&quot;,&quot;-&quot;)"/>
    <hyperlink ref="B31" r:id="rId22" display="=@IF(G1&gt;H1,&quot;*&quot;,&quot;-&quot;)"/>
    <hyperlink ref="B32" r:id="rId23" display="=@IF(G1&gt;H1,&quot;*&quot;,&quot;-&quot;)"/>
    <hyperlink ref="B33" r:id="rId24" display="=@IF(G1&gt;H1,&quot;*&quot;,&quot;-&quot;)"/>
    <hyperlink ref="B34" r:id="rId25" display="=@IF(G1&gt;H1,&quot;*&quot;,&quot;-&quot;)"/>
    <hyperlink ref="B35" r:id="rId26" display="=@IF(G1&gt;H1,&quot;*&quot;,&quot;-&quot;)"/>
    <hyperlink ref="B36" r:id="rId27" display="=@IF(G1&gt;H1,&quot;*&quot;,&quot;-&quot;)"/>
    <hyperlink ref="B37" r:id="rId28" display="=@IF(G1&gt;H1,&quot;*&quot;,&quot;-&quot;)"/>
    <hyperlink ref="G8" r:id="rId29" display="=@IF(G1&gt;H1,&quot;*&quot;,&quot;-&quot;)"/>
    <hyperlink ref="G9" r:id="rId30" display="=@IF(G1&gt;H1,&quot;*&quot;,&quot;-&quot;)"/>
    <hyperlink ref="G10" r:id="rId31" display="=@IF(G1&gt;H1,&quot;*&quot;,&quot;-&quot;)"/>
    <hyperlink ref="G11" r:id="rId32" display="=@IF(G1&gt;H1,&quot;*&quot;,&quot;-&quot;)"/>
    <hyperlink ref="G12" r:id="rId33" display="=@IF(G1&gt;H1,&quot;*&quot;,&quot;-&quot;)"/>
    <hyperlink ref="G13" r:id="rId34" display="=@IF(G1&gt;H1,&quot;*&quot;,&quot;-&quot;)"/>
    <hyperlink ref="G14" r:id="rId35" display="=@IF(G1&gt;H1,&quot;*&quot;,&quot;-&quot;)"/>
    <hyperlink ref="G15" r:id="rId36" display="=@IF(G1&gt;H1,&quot;*&quot;,&quot;-&quot;)"/>
    <hyperlink ref="G16" r:id="rId37" display="=@IF(G1&gt;H1,&quot;*&quot;,&quot;-&quot;)"/>
    <hyperlink ref="G17" r:id="rId38" display="=@IF(G1&gt;H1,&quot;*&quot;,&quot;-&quot;)"/>
    <hyperlink ref="G18" r:id="rId39" display="=@IF(G1&gt;H1,&quot;*&quot;,&quot;-&quot;)"/>
    <hyperlink ref="G19" r:id="rId40" display="=@IF(G1&gt;H1,&quot;*&quot;,&quot;-&quot;)"/>
    <hyperlink ref="H8" r:id="rId41" display="=@IF(G1&gt;H1,&quot;*&quot;,&quot;-&quot;)"/>
    <hyperlink ref="H9" r:id="rId42" display="=@IF(G1&gt;H1,&quot;*&quot;,&quot;-&quot;)"/>
    <hyperlink ref="H10" r:id="rId43" display="=@IF(G1&gt;H1,&quot;*&quot;,&quot;-&quot;)"/>
    <hyperlink ref="H11" r:id="rId44" display="=@IF(G1&gt;H1,&quot;*&quot;,&quot;-&quot;)"/>
    <hyperlink ref="H12" r:id="rId45" display="=@IF(G1&gt;H1,&quot;*&quot;,&quot;-&quot;)"/>
    <hyperlink ref="H13" r:id="rId46" display="=@IF(G1&gt;H1,&quot;*&quot;,&quot;-&quot;)"/>
    <hyperlink ref="H14" r:id="rId47" display="=@IF(G1&gt;H1,&quot;*&quot;,&quot;-&quot;)"/>
    <hyperlink ref="H15" r:id="rId48" display="=@IF(G1&gt;H1,&quot;*&quot;,&quot;-&quot;)"/>
    <hyperlink ref="H16" r:id="rId49" display="=@IF(G1&gt;H1,&quot;*&quot;,&quot;-&quot;)"/>
    <hyperlink ref="H17" r:id="rId50" display="=@IF(G1&gt;H1,&quot;*&quot;,&quot;-&quot;)"/>
    <hyperlink ref="H18" r:id="rId51" display="=@IF(G1&gt;H1,&quot;*&quot;,&quot;-&quot;)"/>
    <hyperlink ref="H19" r:id="rId52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7" r:id="rId54"/>
  <drawing r:id="rId5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1">
    <tabColor indexed="41"/>
    <pageSetUpPr fitToPage="1"/>
  </sheetPr>
  <dimension ref="A1:I95"/>
  <sheetViews>
    <sheetView zoomScale="85" zoomScaleNormal="85" workbookViewId="0" topLeftCell="A1">
      <selection activeCell="C18" sqref="C18"/>
    </sheetView>
  </sheetViews>
  <sheetFormatPr defaultColWidth="9.140625" defaultRowHeight="12.75"/>
  <cols>
    <col min="1" max="1" width="11.57421875" style="3" customWidth="1"/>
    <col min="2" max="2" width="24.00390625" style="0" customWidth="1"/>
    <col min="3" max="3" width="17.7109375" style="4" customWidth="1"/>
    <col min="4" max="4" width="5.8515625" style="0" customWidth="1"/>
    <col min="5" max="5" width="11.57421875" style="3" customWidth="1"/>
    <col min="6" max="6" width="22.8515625" style="0" bestFit="1" customWidth="1"/>
    <col min="7" max="7" width="17.57421875" style="0" customWidth="1"/>
    <col min="8" max="8" width="11.57421875" style="0" bestFit="1" customWidth="1"/>
    <col min="9" max="9" width="18.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4</v>
      </c>
      <c r="B2" s="403" t="str">
        <f>Ref!B27</f>
        <v>Murat BABAOĞLU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39244</v>
      </c>
      <c r="B6" s="466" t="s">
        <v>367</v>
      </c>
      <c r="C6" s="409">
        <v>140</v>
      </c>
      <c r="D6" s="52"/>
      <c r="E6" s="3">
        <f>Ref!A8</f>
        <v>39239</v>
      </c>
      <c r="F6" s="3" t="str">
        <f>Ref!B8</f>
        <v>Devreden Borç</v>
      </c>
      <c r="G6" s="242">
        <v>140</v>
      </c>
      <c r="H6" s="217"/>
      <c r="I6" s="234">
        <f>SUM(G6:H6)</f>
        <v>140</v>
      </c>
    </row>
    <row r="7" spans="1:9" ht="12.75">
      <c r="A7" s="452">
        <v>39280.07</v>
      </c>
      <c r="B7" s="466" t="s">
        <v>368</v>
      </c>
      <c r="C7" s="409">
        <v>150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IF(Ref!$B$1&gt;=Ref!$A9,Ref!C9,0)</f>
        <v>150</v>
      </c>
      <c r="H7" s="236">
        <f>IF(Ref!$B$1&gt;=Ref!$A9,Ref!D9,0)</f>
        <v>0</v>
      </c>
      <c r="I7" s="234">
        <f>SUM(G7:H7)</f>
        <v>150</v>
      </c>
    </row>
    <row r="8" spans="1:9" ht="12.75">
      <c r="A8" s="452">
        <v>39297</v>
      </c>
      <c r="B8" s="466" t="s">
        <v>369</v>
      </c>
      <c r="C8" s="409">
        <v>150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IF(Ref!$B$1&gt;=Ref!$A10,Ref!C10,0)</f>
        <v>150</v>
      </c>
      <c r="H8" s="236">
        <f>IF(Ref!$B$1&gt;=Ref!$A10,Ref!D10,0)</f>
        <v>0</v>
      </c>
      <c r="I8" s="234">
        <f aca="true" t="shared" si="0" ref="I8:I19">SUM(G8:H8)</f>
        <v>150</v>
      </c>
    </row>
    <row r="9" spans="1:9" ht="12.75">
      <c r="A9" s="452">
        <v>39331</v>
      </c>
      <c r="B9" s="466" t="s">
        <v>429</v>
      </c>
      <c r="C9" s="409">
        <v>150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IF(Ref!$B$1&gt;=Ref!$A11,Ref!C11,0)</f>
        <v>150</v>
      </c>
      <c r="H9" s="236">
        <f>IF(Ref!$B$1&gt;=Ref!$A11,Ref!D11,0)</f>
        <v>0</v>
      </c>
      <c r="I9" s="234">
        <f t="shared" si="0"/>
        <v>150</v>
      </c>
    </row>
    <row r="10" spans="1:9" ht="12.75">
      <c r="A10" s="452">
        <v>39363</v>
      </c>
      <c r="B10" s="466" t="s">
        <v>430</v>
      </c>
      <c r="C10" s="409">
        <v>150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IF(Ref!$B$1&gt;=Ref!$A12,Ref!C12,0)</f>
        <v>150</v>
      </c>
      <c r="H10" s="236">
        <f>IF(Ref!$B$1&gt;=Ref!$A12,Ref!D12,0)</f>
        <v>0</v>
      </c>
      <c r="I10" s="234">
        <f t="shared" si="0"/>
        <v>150</v>
      </c>
    </row>
    <row r="11" spans="1:9" ht="12.75">
      <c r="A11" s="452">
        <v>39394</v>
      </c>
      <c r="B11" s="466" t="s">
        <v>455</v>
      </c>
      <c r="C11" s="409">
        <v>150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IF(Ref!$B$1&gt;=Ref!$A13,Ref!C13,0)</f>
        <v>150</v>
      </c>
      <c r="H11" s="236">
        <f>IF(Ref!$B$1&gt;=Ref!$A13,Ref!D13,0)</f>
        <v>0</v>
      </c>
      <c r="I11" s="234">
        <f t="shared" si="0"/>
        <v>150</v>
      </c>
    </row>
    <row r="12" spans="1:9" ht="12.75">
      <c r="A12" s="452">
        <v>39419</v>
      </c>
      <c r="B12" s="466" t="s">
        <v>473</v>
      </c>
      <c r="C12" s="409">
        <v>150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IF(Ref!$B$1&gt;=Ref!$A14,Ref!C14,0)</f>
        <v>150</v>
      </c>
      <c r="H12" s="236">
        <f>IF(Ref!$B$1&gt;=Ref!$A14,Ref!D14,0)</f>
        <v>0</v>
      </c>
      <c r="I12" s="234">
        <f t="shared" si="0"/>
        <v>150</v>
      </c>
    </row>
    <row r="13" spans="1:9" ht="12.75">
      <c r="A13" s="452">
        <v>39458</v>
      </c>
      <c r="B13" s="466" t="s">
        <v>507</v>
      </c>
      <c r="C13" s="409">
        <v>140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IF(Ref!$B$1&gt;=Ref!$A15,Ref!C15,0)</f>
        <v>150</v>
      </c>
      <c r="H13" s="236">
        <f>IF(Ref!$B$1&gt;=Ref!$A15,Ref!D15,0)</f>
        <v>0</v>
      </c>
      <c r="I13" s="234">
        <f t="shared" si="0"/>
        <v>150</v>
      </c>
    </row>
    <row r="14" spans="1:9" ht="12.75">
      <c r="A14" s="452">
        <v>39458</v>
      </c>
      <c r="B14" s="466" t="s">
        <v>507</v>
      </c>
      <c r="C14" s="409">
        <v>10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IF(Ref!$B$1&gt;=Ref!$A16,Ref!C16,0)</f>
        <v>150</v>
      </c>
      <c r="H14" s="236">
        <f>IF(Ref!$B$1&gt;=Ref!$A16,Ref!D16,0)</f>
        <v>0</v>
      </c>
      <c r="I14" s="234">
        <f t="shared" si="0"/>
        <v>150</v>
      </c>
    </row>
    <row r="15" spans="1:9" ht="12.75">
      <c r="A15" s="452">
        <v>39482</v>
      </c>
      <c r="B15" s="466" t="s">
        <v>522</v>
      </c>
      <c r="C15" s="409">
        <v>150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IF(Ref!$B$1&gt;=Ref!$A17,Ref!C17,0)</f>
        <v>150</v>
      </c>
      <c r="H15" s="236">
        <f>IF(Ref!$B$1&gt;=Ref!$A17,Ref!D17,0)</f>
        <v>0</v>
      </c>
      <c r="I15" s="234">
        <f t="shared" si="0"/>
        <v>150</v>
      </c>
    </row>
    <row r="16" spans="1:9" ht="12.75">
      <c r="A16" s="452">
        <v>39511</v>
      </c>
      <c r="B16" s="466" t="s">
        <v>553</v>
      </c>
      <c r="C16" s="409">
        <v>150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IF(Ref!$B$1&gt;=Ref!$A18,Ref!C18,0)</f>
        <v>150</v>
      </c>
      <c r="H16" s="236">
        <f>IF(Ref!$B$1&gt;=Ref!$A18,Ref!D18,0)</f>
        <v>0</v>
      </c>
      <c r="I16" s="234">
        <f t="shared" si="0"/>
        <v>150</v>
      </c>
    </row>
    <row r="17" spans="1:9" ht="12.75">
      <c r="A17" s="452">
        <v>39542</v>
      </c>
      <c r="B17" s="466" t="s">
        <v>583</v>
      </c>
      <c r="C17" s="409">
        <v>150</v>
      </c>
      <c r="D17" s="52"/>
      <c r="E17" s="3">
        <f>Ref!A19</f>
        <v>39569</v>
      </c>
      <c r="F17" s="3" t="str">
        <f>Ref!B19</f>
        <v>Mayıs-2008 Ödentisi</v>
      </c>
      <c r="G17" s="236">
        <f>IF(Ref!$B$1&gt;=Ref!$A19,Ref!C19,0)</f>
        <v>150</v>
      </c>
      <c r="H17" s="236">
        <f>IF(Ref!$B$1&gt;=Ref!$A19,Ref!D19,0)</f>
        <v>0</v>
      </c>
      <c r="I17" s="234">
        <f t="shared" si="0"/>
        <v>150</v>
      </c>
    </row>
    <row r="18" spans="1:9" ht="12.75">
      <c r="A18" s="452">
        <v>39573</v>
      </c>
      <c r="B18" s="466" t="s">
        <v>607</v>
      </c>
      <c r="C18" s="409">
        <v>150</v>
      </c>
      <c r="D18" s="52"/>
      <c r="E18" s="3">
        <f>Ref!A20</f>
        <v>39600</v>
      </c>
      <c r="F18" s="3" t="str">
        <f>Ref!B20</f>
        <v>Haziran-2008 Ödentisi</v>
      </c>
      <c r="G18" s="236">
        <f>IF(Ref!$B$1&gt;=Ref!$A20,Ref!C20,0)</f>
        <v>0</v>
      </c>
      <c r="H18" s="236">
        <f>IF(Ref!$B$1&gt;=Ref!$A20,Ref!D20,0)</f>
        <v>0</v>
      </c>
      <c r="I18" s="234">
        <f t="shared" si="0"/>
        <v>0</v>
      </c>
    </row>
    <row r="19" spans="1:9" ht="12.75">
      <c r="A19" s="452"/>
      <c r="B19" s="466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IF(Ref!$B$1&gt;=Ref!$A21,Ref!C21,0)</f>
        <v>0</v>
      </c>
      <c r="H19" s="236">
        <f>IF(Ref!$B$1&gt;=Ref!$A21,Ref!D21,0)</f>
        <v>0</v>
      </c>
      <c r="I19" s="234">
        <f t="shared" si="0"/>
        <v>0</v>
      </c>
    </row>
    <row r="20" spans="1:9" ht="13.5" thickBot="1">
      <c r="A20" s="452"/>
      <c r="B20" s="466"/>
      <c r="C20" s="409"/>
      <c r="D20" s="52"/>
      <c r="F20" s="3"/>
      <c r="G20" s="236"/>
      <c r="H20" s="236"/>
      <c r="I20" s="234"/>
    </row>
    <row r="21" spans="1:9" ht="14.25" thickBot="1" thickTop="1">
      <c r="A21" s="83"/>
      <c r="B21" s="84" t="s">
        <v>11</v>
      </c>
      <c r="C21" s="241">
        <f>SUM(C6:C20)</f>
        <v>1790</v>
      </c>
      <c r="D21" s="51"/>
      <c r="E21" s="83"/>
      <c r="F21" s="84" t="s">
        <v>62</v>
      </c>
      <c r="G21" s="244">
        <f>SUM(G6:G19)</f>
        <v>1790</v>
      </c>
      <c r="H21" s="244">
        <f>SUM(H6:H19)</f>
        <v>0</v>
      </c>
      <c r="I21" s="245">
        <f>SUM(I6:I20)</f>
        <v>1790</v>
      </c>
    </row>
    <row r="22" spans="1:9" ht="12.75">
      <c r="A22" s="35"/>
      <c r="B22" s="36"/>
      <c r="C22" s="37"/>
      <c r="D22" s="26"/>
      <c r="E22" s="35"/>
      <c r="F22" s="36"/>
      <c r="G22" s="38"/>
      <c r="H22" s="38"/>
      <c r="I22" s="39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60"/>
      <c r="G24" s="40"/>
      <c r="H24" s="29"/>
      <c r="I24" s="41"/>
    </row>
    <row r="25" spans="1:9" ht="12.75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IF(Ref!$B$1&lt;Ref!$A10,Ref!D10,"-")</f>
        <v>-</v>
      </c>
      <c r="C26" s="54"/>
      <c r="D26" s="29"/>
      <c r="E26" s="28"/>
      <c r="F26" s="64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5.75">
      <c r="A27" s="20" t="str">
        <f>IF(Ref!$B$1&lt;Ref!$A11,Ref!A11,"-")</f>
        <v>-</v>
      </c>
      <c r="B27" s="246" t="str">
        <f>IF(Ref!$B$1&lt;Ref!$A11,Ref!D11,"-")</f>
        <v>-</v>
      </c>
      <c r="C27" s="54"/>
      <c r="D27" s="29"/>
      <c r="E27" s="28"/>
      <c r="F27" s="239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IF(Ref!$B$1&lt;Ref!$A12,Ref!D12,"-")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IF(Ref!$B$1&lt;Ref!$A13,Ref!D13,"-")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IF(Ref!$B$1&lt;Ref!$A14,Ref!D14,"-")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IF(Ref!$B$1&lt;Ref!$A15,Ref!D15,"-")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IF(Ref!$B$1&lt;Ref!$A16,Ref!D16,"-")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IF(Ref!$B$1&lt;Ref!$A17,Ref!D17,"-")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IF(Ref!$B$1&lt;Ref!$A18,Ref!D18,"-")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IF(Ref!$B$1&lt;Ref!$A19,Ref!D19,"-")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2.75">
      <c r="A36" s="20">
        <f>IF(Ref!$B$1&lt;Ref!$A20,Ref!A20,"-")</f>
        <v>39600</v>
      </c>
      <c r="B36" s="246">
        <f>IF(Ref!$B$1&lt;Ref!$A20,Ref!D20,"-")</f>
        <v>0</v>
      </c>
      <c r="C36" s="54"/>
      <c r="D36" s="80" t="s">
        <v>98</v>
      </c>
      <c r="E36" s="49"/>
      <c r="F36" s="81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IF(Ref!$B$1&lt;Ref!$A21,Ref!D21,"-")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4" r:id="rId45"/>
  <drawing r:id="rId4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2">
    <tabColor indexed="42"/>
    <pageSetUpPr fitToPage="1"/>
  </sheetPr>
  <dimension ref="A1:I95"/>
  <sheetViews>
    <sheetView zoomScale="85" zoomScaleNormal="85" workbookViewId="0" topLeftCell="A1">
      <selection activeCell="C16" sqref="C16"/>
    </sheetView>
  </sheetViews>
  <sheetFormatPr defaultColWidth="9.140625" defaultRowHeight="12.75"/>
  <cols>
    <col min="1" max="1" width="11.57421875" style="3" customWidth="1"/>
    <col min="2" max="2" width="23.421875" style="0" customWidth="1"/>
    <col min="3" max="3" width="18.00390625" style="4" customWidth="1"/>
    <col min="4" max="4" width="5.8515625" style="0" customWidth="1"/>
    <col min="5" max="5" width="11.57421875" style="3" customWidth="1"/>
    <col min="6" max="6" width="22.28125" style="0" customWidth="1"/>
    <col min="7" max="7" width="18.00390625" style="0" customWidth="1"/>
    <col min="8" max="8" width="11.8515625" style="0" bestFit="1" customWidth="1"/>
    <col min="9" max="9" width="18.57421875" style="2" bestFit="1" customWidth="1"/>
  </cols>
  <sheetData>
    <row r="1" spans="1:8" ht="15">
      <c r="A1" s="19" t="s">
        <v>63</v>
      </c>
      <c r="B1" s="2" t="s">
        <v>12</v>
      </c>
      <c r="C1" s="42"/>
      <c r="E1" s="35"/>
      <c r="F1" s="65"/>
      <c r="G1" s="66"/>
      <c r="H1" s="63"/>
    </row>
    <row r="2" spans="1:9" ht="33">
      <c r="A2" s="21">
        <v>5</v>
      </c>
      <c r="B2" s="69" t="str">
        <f>Ref!B28</f>
        <v>Avram LEVİ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39265</v>
      </c>
      <c r="B6" s="407" t="s">
        <v>341</v>
      </c>
      <c r="C6" s="409">
        <v>140</v>
      </c>
      <c r="D6" s="52"/>
      <c r="E6" s="3">
        <f>Ref!A8</f>
        <v>39239</v>
      </c>
      <c r="F6" s="3" t="str">
        <f>Ref!B7</f>
        <v>Devreden Alacak</v>
      </c>
      <c r="G6" s="510">
        <v>0</v>
      </c>
      <c r="H6" s="217"/>
      <c r="I6" s="234">
        <f>SUM(G6:H6)</f>
        <v>0</v>
      </c>
    </row>
    <row r="7" spans="1:9" ht="12.75">
      <c r="A7" s="452">
        <v>39295</v>
      </c>
      <c r="B7" s="407" t="s">
        <v>364</v>
      </c>
      <c r="C7" s="409">
        <v>140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IF(Ref!$B$1&gt;=Ref!$A9,Ref!E9,0)</f>
        <v>140</v>
      </c>
      <c r="H7" s="236">
        <f>IF(Ref!$B$1&gt;=Ref!$A9,Ref!F9,0)</f>
        <v>0</v>
      </c>
      <c r="I7" s="234">
        <f>SUM(G7:H7)</f>
        <v>140</v>
      </c>
    </row>
    <row r="8" spans="1:9" ht="12.75">
      <c r="A8" s="452">
        <v>39328</v>
      </c>
      <c r="B8" s="407" t="s">
        <v>418</v>
      </c>
      <c r="C8" s="409">
        <v>140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IF(Ref!$B$1&gt;=Ref!$A10,Ref!E10,0)</f>
        <v>140</v>
      </c>
      <c r="H8" s="236">
        <f>IF(Ref!$B$1&gt;=Ref!$A10,Ref!F10,0)</f>
        <v>0</v>
      </c>
      <c r="I8" s="234">
        <f aca="true" t="shared" si="0" ref="I8:I19">SUM(G8:H8)</f>
        <v>140</v>
      </c>
    </row>
    <row r="9" spans="1:9" ht="12.75">
      <c r="A9" s="452">
        <v>39356</v>
      </c>
      <c r="B9" s="407" t="s">
        <v>417</v>
      </c>
      <c r="C9" s="409">
        <v>140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IF(Ref!$B$1&gt;=Ref!$A11,Ref!E11,0)</f>
        <v>140</v>
      </c>
      <c r="H9" s="236">
        <f>IF(Ref!$B$1&gt;=Ref!$A11,Ref!F11,0)</f>
        <v>0</v>
      </c>
      <c r="I9" s="234">
        <f t="shared" si="0"/>
        <v>140</v>
      </c>
    </row>
    <row r="10" spans="1:9" ht="12.75">
      <c r="A10" s="452">
        <v>39387</v>
      </c>
      <c r="B10" s="407" t="s">
        <v>448</v>
      </c>
      <c r="C10" s="409">
        <v>140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IF(Ref!$B$1&gt;=Ref!$A12,Ref!E12,0)</f>
        <v>140</v>
      </c>
      <c r="H10" s="236">
        <f>IF(Ref!$B$1&gt;=Ref!$A12,Ref!F12,0)</f>
        <v>0</v>
      </c>
      <c r="I10" s="234">
        <f t="shared" si="0"/>
        <v>140</v>
      </c>
    </row>
    <row r="11" spans="1:9" ht="12.75">
      <c r="A11" s="452">
        <v>39419</v>
      </c>
      <c r="B11" s="407" t="s">
        <v>472</v>
      </c>
      <c r="C11" s="409">
        <v>140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IF(Ref!$B$1&gt;=Ref!$A13,Ref!E13,0)</f>
        <v>140</v>
      </c>
      <c r="H11" s="236">
        <f>IF(Ref!$B$1&gt;=Ref!$A13,Ref!F13,0)</f>
        <v>0</v>
      </c>
      <c r="I11" s="234">
        <f t="shared" si="0"/>
        <v>140</v>
      </c>
    </row>
    <row r="12" spans="1:9" ht="12.75">
      <c r="A12" s="452">
        <v>39449</v>
      </c>
      <c r="B12" s="407" t="s">
        <v>499</v>
      </c>
      <c r="C12" s="409">
        <v>140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IF(Ref!$B$1&gt;=Ref!$A14,Ref!E14,0)</f>
        <v>140</v>
      </c>
      <c r="H12" s="236">
        <f>IF(Ref!$B$1&gt;=Ref!$A14,Ref!F14,0)</f>
        <v>0</v>
      </c>
      <c r="I12" s="234">
        <f t="shared" si="0"/>
        <v>140</v>
      </c>
    </row>
    <row r="13" spans="1:9" ht="12.75">
      <c r="A13" s="452">
        <v>39479</v>
      </c>
      <c r="B13" s="407" t="s">
        <v>517</v>
      </c>
      <c r="C13" s="409">
        <v>140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IF(Ref!$B$1&gt;=Ref!$A15,Ref!E15,0)</f>
        <v>140</v>
      </c>
      <c r="H13" s="236">
        <f>IF(Ref!$B$1&gt;=Ref!$A15,Ref!F15,0)</f>
        <v>0</v>
      </c>
      <c r="I13" s="234">
        <f t="shared" si="0"/>
        <v>140</v>
      </c>
    </row>
    <row r="14" spans="1:9" ht="12.75">
      <c r="A14" s="452">
        <v>39507</v>
      </c>
      <c r="B14" s="407" t="s">
        <v>537</v>
      </c>
      <c r="C14" s="409">
        <v>140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IF(Ref!$B$1&gt;=Ref!$A16,Ref!E16,0)</f>
        <v>140</v>
      </c>
      <c r="H14" s="236">
        <f>IF(Ref!$B$1&gt;=Ref!$A16,Ref!F16,0)</f>
        <v>0</v>
      </c>
      <c r="I14" s="234">
        <f t="shared" si="0"/>
        <v>140</v>
      </c>
    </row>
    <row r="15" spans="1:9" ht="12.75">
      <c r="A15" s="452">
        <v>39539</v>
      </c>
      <c r="B15" s="407" t="s">
        <v>576</v>
      </c>
      <c r="C15" s="409">
        <v>140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IF(Ref!$B$1&gt;=Ref!$A17,Ref!E17,0)</f>
        <v>140</v>
      </c>
      <c r="H15" s="236">
        <f>IF(Ref!$B$1&gt;=Ref!$A17,Ref!F17,0)</f>
        <v>0</v>
      </c>
      <c r="I15" s="234">
        <f t="shared" si="0"/>
        <v>140</v>
      </c>
    </row>
    <row r="16" spans="1:9" ht="12.75">
      <c r="A16" s="452">
        <v>39569</v>
      </c>
      <c r="B16" s="407" t="s">
        <v>601</v>
      </c>
      <c r="C16" s="409">
        <v>140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IF(Ref!$B$1&gt;=Ref!$A18,Ref!E18,0)</f>
        <v>140</v>
      </c>
      <c r="H16" s="236">
        <f>IF(Ref!$B$1&gt;=Ref!$A18,Ref!F18,0)</f>
        <v>0</v>
      </c>
      <c r="I16" s="234">
        <f t="shared" si="0"/>
        <v>140</v>
      </c>
    </row>
    <row r="17" spans="1:9" ht="12.75">
      <c r="A17" s="452"/>
      <c r="B17" s="407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IF(Ref!$B$1&gt;=Ref!$A19,Ref!E19,0)</f>
        <v>140</v>
      </c>
      <c r="H17" s="236">
        <f>IF(Ref!$B$1&gt;=Ref!$A19,Ref!F19,0)</f>
        <v>0</v>
      </c>
      <c r="I17" s="234">
        <f t="shared" si="0"/>
        <v>140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IF(Ref!$B$1&gt;=Ref!$A20,Ref!E20,0)</f>
        <v>0</v>
      </c>
      <c r="H18" s="236">
        <f>IF(Ref!$B$1&gt;=Ref!$A20,Ref!F20,0)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IF(Ref!$B$1&gt;=Ref!$A21,Ref!E21,0)</f>
        <v>0</v>
      </c>
      <c r="H19" s="236">
        <f>IF(Ref!$B$1&gt;=Ref!$A21,Ref!F21,0)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1:9" ht="14.25" thickBot="1" thickTop="1">
      <c r="A21" s="83"/>
      <c r="B21" s="84" t="s">
        <v>11</v>
      </c>
      <c r="C21" s="241">
        <f>SUM(C6:C20)</f>
        <v>1540</v>
      </c>
      <c r="D21" s="51"/>
      <c r="E21" s="83"/>
      <c r="F21" s="84" t="s">
        <v>62</v>
      </c>
      <c r="G21" s="244">
        <f>SUM(G6:G19)</f>
        <v>1540</v>
      </c>
      <c r="H21" s="244">
        <f>SUM(H6:H19)</f>
        <v>0</v>
      </c>
      <c r="I21" s="245">
        <f>SUM(I6:I20)</f>
        <v>1540</v>
      </c>
    </row>
    <row r="22" spans="1:9" ht="12.75">
      <c r="A22" s="35"/>
      <c r="B22" s="36"/>
      <c r="C22" s="37"/>
      <c r="D22" s="26"/>
      <c r="E22" s="35"/>
      <c r="F22" s="36"/>
      <c r="G22" s="38"/>
      <c r="H22" s="38"/>
      <c r="I22" s="39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29"/>
      <c r="H24" s="29"/>
      <c r="I24" s="41"/>
    </row>
    <row r="25" spans="1:9" ht="12.75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.75">
      <c r="A26" s="20" t="str">
        <f>IF(Ref!$B$1&lt;Ref!$A10,Ref!A10,"-")</f>
        <v>-</v>
      </c>
      <c r="B26" s="246" t="str">
        <f>IF(Ref!$B$1&lt;Ref!$A10,Ref!F10,"-")</f>
        <v>-</v>
      </c>
      <c r="C26" s="54"/>
      <c r="D26" s="29"/>
      <c r="E26" s="28"/>
      <c r="F26" s="64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5.75">
      <c r="A27" s="20" t="str">
        <f>IF(Ref!$B$1&lt;Ref!$A11,Ref!A11,"-")</f>
        <v>-</v>
      </c>
      <c r="B27" s="246" t="str">
        <f>IF(Ref!$B$1&lt;Ref!$A11,Ref!F11,"-")</f>
        <v>-</v>
      </c>
      <c r="C27" s="54"/>
      <c r="D27" s="29"/>
      <c r="E27" s="28"/>
      <c r="F27" s="239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IF(Ref!$B$1&lt;Ref!$A12,Ref!F12,"-")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IF(Ref!$B$1&lt;Ref!$A13,Ref!F13,"-")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IF(Ref!$B$1&lt;Ref!$A14,Ref!F14,"-")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IF(Ref!$B$1&lt;Ref!$A15,Ref!F15,"-")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IF(Ref!$B$1&lt;Ref!$A16,Ref!F16,"-")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IF(Ref!$B$1&lt;Ref!$A17,Ref!F17,"-")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IF(Ref!$B$1&lt;Ref!$A18,Ref!F18,"-")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IF(Ref!$B$1&lt;Ref!$A19,Ref!F19,"-")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2.75">
      <c r="A36" s="20">
        <f>IF(Ref!$B$1&lt;Ref!$A20,Ref!A20,"-")</f>
        <v>39600</v>
      </c>
      <c r="B36" s="246">
        <f>IF(Ref!$B$1&lt;Ref!$A20,Ref!F20,"-")</f>
        <v>0</v>
      </c>
      <c r="C36" s="54"/>
      <c r="D36" s="80" t="s">
        <v>98</v>
      </c>
      <c r="E36" s="49"/>
      <c r="F36" s="81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IF(Ref!$B$1&lt;Ref!$A21,Ref!F21,"-")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H2" r:id="rId1" display="=@today()"/>
    <hyperlink ref="G7" r:id="rId2" display="=@IF(G1&gt;H1,&quot;*&quot;,&quot;-&quot;)"/>
    <hyperlink ref="H7" r:id="rId3" display="=@IF(G1&gt;H1,&quot;*&quot;,&quot;-&quot;)"/>
    <hyperlink ref="A25" r:id="rId4" display="=@IF(G1&gt;H1,&quot;*&quot;,&quot;-&quot;)"/>
    <hyperlink ref="B25" r:id="rId5" display="=@IF(G1&gt;H1,&quot;*&quot;,&quot;-&quot;)"/>
    <hyperlink ref="A26" r:id="rId6" display="=@IF(G1&gt;H1,&quot;*&quot;,&quot;-&quot;)"/>
    <hyperlink ref="A27" r:id="rId7" display="=@IF(G1&gt;H1,&quot;*&quot;,&quot;-&quot;)"/>
    <hyperlink ref="A28" r:id="rId8" display="=@IF(G1&gt;H1,&quot;*&quot;,&quot;-&quot;)"/>
    <hyperlink ref="A29" r:id="rId9" display="=@IF(G1&gt;H1,&quot;*&quot;,&quot;-&quot;)"/>
    <hyperlink ref="A30" r:id="rId10" display="=@IF(G1&gt;H1,&quot;*&quot;,&quot;-&quot;)"/>
    <hyperlink ref="A31" r:id="rId11" display="=@IF(G1&gt;H1,&quot;*&quot;,&quot;-&quot;)"/>
    <hyperlink ref="A32" r:id="rId12" display="=@IF(G1&gt;H1,&quot;*&quot;,&quot;-&quot;)"/>
    <hyperlink ref="A33" r:id="rId13" display="=@IF(G1&gt;H1,&quot;*&quot;,&quot;-&quot;)"/>
    <hyperlink ref="A34" r:id="rId14" display="=@IF(G1&gt;H1,&quot;*&quot;,&quot;-&quot;)"/>
    <hyperlink ref="A35" r:id="rId15" display="=@IF(G1&gt;H1,&quot;*&quot;,&quot;-&quot;)"/>
    <hyperlink ref="A36" r:id="rId16" display="=@IF(G1&gt;H1,&quot;*&quot;,&quot;-&quot;)"/>
    <hyperlink ref="A37" r:id="rId17" display="=@IF(G1&gt;H1,&quot;*&quot;,&quot;-&quot;)"/>
    <hyperlink ref="B26" r:id="rId18" display="=@IF(G1&gt;H1,&quot;*&quot;,&quot;-&quot;)"/>
    <hyperlink ref="B27" r:id="rId19" display="=@IF(G1&gt;H1,&quot;*&quot;,&quot;-&quot;)"/>
    <hyperlink ref="B28" r:id="rId20" display="=@IF(G1&gt;H1,&quot;*&quot;,&quot;-&quot;)"/>
    <hyperlink ref="B29" r:id="rId21" display="=@IF(G1&gt;H1,&quot;*&quot;,&quot;-&quot;)"/>
    <hyperlink ref="B30" r:id="rId22" display="=@IF(G1&gt;H1,&quot;*&quot;,&quot;-&quot;)"/>
    <hyperlink ref="B31" r:id="rId23" display="=@IF(G1&gt;H1,&quot;*&quot;,&quot;-&quot;)"/>
    <hyperlink ref="B32" r:id="rId24" display="=@IF(G1&gt;H1,&quot;*&quot;,&quot;-&quot;)"/>
    <hyperlink ref="B33" r:id="rId25" display="=@IF(G1&gt;H1,&quot;*&quot;,&quot;-&quot;)"/>
    <hyperlink ref="B34" r:id="rId26" display="=@IF(G1&gt;H1,&quot;*&quot;,&quot;-&quot;)"/>
    <hyperlink ref="B35" r:id="rId27" display="=@IF(G1&gt;H1,&quot;*&quot;,&quot;-&quot;)"/>
    <hyperlink ref="B36" r:id="rId28" display="=@IF(G1&gt;H1,&quot;*&quot;,&quot;-&quot;)"/>
    <hyperlink ref="B37" r:id="rId29" display="=@IF(G1&gt;H1,&quot;*&quot;,&quot;-&quot;)"/>
    <hyperlink ref="G8" r:id="rId30" display="=@IF(G1&gt;H1,&quot;*&quot;,&quot;-&quot;)"/>
    <hyperlink ref="G9" r:id="rId31" display="=@IF(G1&gt;H1,&quot;*&quot;,&quot;-&quot;)"/>
    <hyperlink ref="G10" r:id="rId32" display="=@IF(G1&gt;H1,&quot;*&quot;,&quot;-&quot;)"/>
    <hyperlink ref="G11" r:id="rId33" display="=@IF(G1&gt;H1,&quot;*&quot;,&quot;-&quot;)"/>
    <hyperlink ref="G12" r:id="rId34" display="=@IF(G1&gt;H1,&quot;*&quot;,&quot;-&quot;)"/>
    <hyperlink ref="G13" r:id="rId35" display="=@IF(G1&gt;H1,&quot;*&quot;,&quot;-&quot;)"/>
    <hyperlink ref="G14" r:id="rId36" display="=@IF(G1&gt;H1,&quot;*&quot;,&quot;-&quot;)"/>
    <hyperlink ref="G15" r:id="rId37" display="=@IF(G1&gt;H1,&quot;*&quot;,&quot;-&quot;)"/>
    <hyperlink ref="G16" r:id="rId38" display="=@IF(G1&gt;H1,&quot;*&quot;,&quot;-&quot;)"/>
    <hyperlink ref="G17" r:id="rId39" display="=@IF(G1&gt;H1,&quot;*&quot;,&quot;-&quot;)"/>
    <hyperlink ref="G18" r:id="rId40" display="=@IF(G1&gt;H1,&quot;*&quot;,&quot;-&quot;)"/>
    <hyperlink ref="G19" r:id="rId41" display="=@IF(G1&gt;H1,&quot;*&quot;,&quot;-&quot;)"/>
    <hyperlink ref="H8" r:id="rId42" display="=@IF(G1&gt;H1,&quot;*&quot;,&quot;-&quot;)"/>
    <hyperlink ref="H9" r:id="rId43" display="=@IF(G1&gt;H1,&quot;*&quot;,&quot;-&quot;)"/>
    <hyperlink ref="H10" r:id="rId44" display="=@IF(G1&gt;H1,&quot;*&quot;,&quot;-&quot;)"/>
    <hyperlink ref="H11" r:id="rId45" display="=@IF(G1&gt;H1,&quot;*&quot;,&quot;-&quot;)"/>
    <hyperlink ref="H12" r:id="rId46" display="=@IF(G1&gt;H1,&quot;*&quot;,&quot;-&quot;)"/>
    <hyperlink ref="H13" r:id="rId47" display="=@IF(G1&gt;H1,&quot;*&quot;,&quot;-&quot;)"/>
    <hyperlink ref="H14" r:id="rId48" display="=@IF(G1&gt;H1,&quot;*&quot;,&quot;-&quot;)"/>
    <hyperlink ref="H15" r:id="rId49" display="=@IF(G1&gt;H1,&quot;*&quot;,&quot;-&quot;)"/>
    <hyperlink ref="H16" r:id="rId50" display="=@IF(G1&gt;H1,&quot;*&quot;,&quot;-&quot;)"/>
    <hyperlink ref="H17" r:id="rId51" display="=@IF(G1&gt;H1,&quot;*&quot;,&quot;-&quot;)"/>
    <hyperlink ref="H18" r:id="rId52" display="=@IF(G1&gt;H1,&quot;*&quot;,&quot;-&quot;)"/>
    <hyperlink ref="H19" r:id="rId5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7" r:id="rId55"/>
  <drawing r:id="rId5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3">
    <tabColor indexed="41"/>
    <pageSetUpPr fitToPage="1"/>
  </sheetPr>
  <dimension ref="A1:I95"/>
  <sheetViews>
    <sheetView zoomScale="85" zoomScaleNormal="85" workbookViewId="0" topLeftCell="A1">
      <selection activeCell="C17" sqref="C17"/>
    </sheetView>
  </sheetViews>
  <sheetFormatPr defaultColWidth="9.140625" defaultRowHeight="12.75"/>
  <cols>
    <col min="1" max="1" width="11.57421875" style="3" customWidth="1"/>
    <col min="2" max="2" width="22.8515625" style="0" customWidth="1"/>
    <col min="3" max="3" width="17.421875" style="4" customWidth="1"/>
    <col min="4" max="4" width="5.8515625" style="0" customWidth="1"/>
    <col min="5" max="5" width="11.57421875" style="3" customWidth="1"/>
    <col min="6" max="6" width="22.421875" style="0" customWidth="1"/>
    <col min="7" max="7" width="17.140625" style="0" customWidth="1"/>
    <col min="8" max="8" width="11.57421875" style="0" bestFit="1" customWidth="1"/>
    <col min="9" max="9" width="17.2812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6</v>
      </c>
      <c r="B2" s="364" t="str">
        <f>Ref!B29</f>
        <v>M. Tevfik KURŞUN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39251</v>
      </c>
      <c r="B6" s="466" t="s">
        <v>327</v>
      </c>
      <c r="C6" s="409">
        <v>140</v>
      </c>
      <c r="D6" s="52"/>
      <c r="E6" s="3">
        <f>Ref!A8</f>
        <v>39239</v>
      </c>
      <c r="F6" s="3" t="str">
        <f>Ref!B8</f>
        <v>Devreden Borç</v>
      </c>
      <c r="G6" s="242">
        <v>140</v>
      </c>
      <c r="H6" s="217"/>
      <c r="I6" s="234">
        <f>SUM(G6:H6)</f>
        <v>140</v>
      </c>
    </row>
    <row r="7" spans="1:9" ht="12.75">
      <c r="A7" s="452">
        <v>39272</v>
      </c>
      <c r="B7" s="466" t="s">
        <v>347</v>
      </c>
      <c r="C7" s="409">
        <v>150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IF(Ref!$B$1&gt;=Ref!$A9,Ref!C9,0)</f>
        <v>150</v>
      </c>
      <c r="H7" s="236">
        <f>IF(Ref!$B$1&gt;=Ref!$A9,Ref!D9,0)</f>
        <v>0</v>
      </c>
      <c r="I7" s="234">
        <f>SUM(G7:H7)</f>
        <v>150</v>
      </c>
    </row>
    <row r="8" spans="1:9" ht="12.75">
      <c r="A8" s="452">
        <v>39307</v>
      </c>
      <c r="B8" s="466" t="s">
        <v>374</v>
      </c>
      <c r="C8" s="409">
        <v>150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IF(Ref!$B$1&gt;=Ref!$A10,Ref!C10,0)</f>
        <v>150</v>
      </c>
      <c r="H8" s="236">
        <f>IF(Ref!$B$1&gt;=Ref!$A10,Ref!D10,0)</f>
        <v>0</v>
      </c>
      <c r="I8" s="234">
        <f aca="true" t="shared" si="0" ref="I8:I19">SUM(G8:H8)</f>
        <v>150</v>
      </c>
    </row>
    <row r="9" spans="1:9" ht="12.75">
      <c r="A9" s="452">
        <v>39354</v>
      </c>
      <c r="B9" s="466" t="s">
        <v>414</v>
      </c>
      <c r="C9" s="409">
        <v>150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IF(Ref!$B$1&gt;=Ref!$A11,Ref!C11,0)</f>
        <v>150</v>
      </c>
      <c r="H9" s="236">
        <f>IF(Ref!$B$1&gt;=Ref!$A11,Ref!D11,0)</f>
        <v>0</v>
      </c>
      <c r="I9" s="234">
        <f t="shared" si="0"/>
        <v>150</v>
      </c>
    </row>
    <row r="10" spans="1:9" ht="12.75">
      <c r="A10" s="452">
        <v>39363</v>
      </c>
      <c r="B10" s="466" t="s">
        <v>427</v>
      </c>
      <c r="C10" s="409">
        <v>150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IF(Ref!$B$1&gt;=Ref!$A12,Ref!C12,0)</f>
        <v>150</v>
      </c>
      <c r="H10" s="236">
        <f>IF(Ref!$B$1&gt;=Ref!$A12,Ref!D12,0)</f>
        <v>0</v>
      </c>
      <c r="I10" s="234">
        <f t="shared" si="0"/>
        <v>150</v>
      </c>
    </row>
    <row r="11" spans="1:9" ht="12.75">
      <c r="A11" s="452">
        <v>39394</v>
      </c>
      <c r="B11" s="466" t="s">
        <v>453</v>
      </c>
      <c r="C11" s="409">
        <v>150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IF(Ref!$B$1&gt;=Ref!$A13,Ref!C13,0)</f>
        <v>150</v>
      </c>
      <c r="H11" s="236">
        <f>IF(Ref!$B$1&gt;=Ref!$A13,Ref!D13,0)</f>
        <v>0</v>
      </c>
      <c r="I11" s="234">
        <f t="shared" si="0"/>
        <v>150</v>
      </c>
    </row>
    <row r="12" spans="1:9" ht="12.75">
      <c r="A12" s="452">
        <v>39423</v>
      </c>
      <c r="B12" s="466" t="s">
        <v>484</v>
      </c>
      <c r="C12" s="409">
        <v>150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IF(Ref!$B$1&gt;=Ref!$A14,Ref!C14,0)</f>
        <v>150</v>
      </c>
      <c r="H12" s="236">
        <f>IF(Ref!$B$1&gt;=Ref!$A14,Ref!D14,0)</f>
        <v>0</v>
      </c>
      <c r="I12" s="234">
        <f t="shared" si="0"/>
        <v>150</v>
      </c>
    </row>
    <row r="13" spans="1:9" ht="12.75">
      <c r="A13" s="452">
        <v>39478</v>
      </c>
      <c r="B13" s="466" t="s">
        <v>515</v>
      </c>
      <c r="C13" s="409">
        <v>150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IF(Ref!$B$1&gt;=Ref!$A15,Ref!C15,0)</f>
        <v>150</v>
      </c>
      <c r="H13" s="236">
        <f>IF(Ref!$B$1&gt;=Ref!$A15,Ref!D15,0)</f>
        <v>0</v>
      </c>
      <c r="I13" s="234">
        <f t="shared" si="0"/>
        <v>150</v>
      </c>
    </row>
    <row r="14" spans="1:9" ht="12.75">
      <c r="A14" s="452">
        <v>39479</v>
      </c>
      <c r="B14" s="466" t="s">
        <v>518</v>
      </c>
      <c r="C14" s="409">
        <v>150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IF(Ref!$B$1&gt;=Ref!$A16,Ref!C16,0)</f>
        <v>150</v>
      </c>
      <c r="H14" s="236">
        <f>IF(Ref!$B$1&gt;=Ref!$A16,Ref!D16,0)</f>
        <v>0</v>
      </c>
      <c r="I14" s="234">
        <f t="shared" si="0"/>
        <v>150</v>
      </c>
    </row>
    <row r="15" spans="1:9" ht="12.75">
      <c r="A15" s="452">
        <v>39507</v>
      </c>
      <c r="B15" s="466" t="s">
        <v>539</v>
      </c>
      <c r="C15" s="409">
        <v>150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IF(Ref!$B$1&gt;=Ref!$A17,Ref!C17,0)</f>
        <v>150</v>
      </c>
      <c r="H15" s="236">
        <f>IF(Ref!$B$1&gt;=Ref!$A17,Ref!D17,0)</f>
        <v>0</v>
      </c>
      <c r="I15" s="234">
        <f t="shared" si="0"/>
        <v>150</v>
      </c>
    </row>
    <row r="16" spans="1:9" ht="12.75">
      <c r="A16" s="452">
        <v>39539</v>
      </c>
      <c r="B16" s="466" t="s">
        <v>578</v>
      </c>
      <c r="C16" s="409">
        <v>150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IF(Ref!$B$1&gt;=Ref!$A18,Ref!C18,0)</f>
        <v>150</v>
      </c>
      <c r="H16" s="236">
        <f>IF(Ref!$B$1&gt;=Ref!$A18,Ref!D18,0)</f>
        <v>0</v>
      </c>
      <c r="I16" s="234">
        <f t="shared" si="0"/>
        <v>150</v>
      </c>
    </row>
    <row r="17" spans="1:9" ht="12.75">
      <c r="A17" s="452">
        <v>39569</v>
      </c>
      <c r="B17" s="466" t="s">
        <v>602</v>
      </c>
      <c r="C17" s="409">
        <v>150</v>
      </c>
      <c r="D17" s="52"/>
      <c r="E17" s="3">
        <f>Ref!A19</f>
        <v>39569</v>
      </c>
      <c r="F17" s="3" t="str">
        <f>Ref!B19</f>
        <v>Mayıs-2008 Ödentisi</v>
      </c>
      <c r="G17" s="236">
        <f>IF(Ref!$B$1&gt;=Ref!$A19,Ref!C19,0)</f>
        <v>150</v>
      </c>
      <c r="H17" s="236">
        <f>IF(Ref!$B$1&gt;=Ref!$A19,Ref!D19,0)</f>
        <v>0</v>
      </c>
      <c r="I17" s="234">
        <f t="shared" si="0"/>
        <v>150</v>
      </c>
    </row>
    <row r="18" spans="1:9" ht="12.75">
      <c r="A18" s="452"/>
      <c r="B18" s="466"/>
      <c r="C18" s="465"/>
      <c r="D18" s="52"/>
      <c r="E18" s="3">
        <f>Ref!A20</f>
        <v>39600</v>
      </c>
      <c r="F18" s="3" t="str">
        <f>Ref!B20</f>
        <v>Haziran-2008 Ödentisi</v>
      </c>
      <c r="G18" s="236">
        <f>IF(Ref!$B$1&gt;=Ref!$A20,Ref!C20,0)</f>
        <v>0</v>
      </c>
      <c r="H18" s="236">
        <f>IF(Ref!$B$1&gt;=Ref!$A20,Ref!D20,0)</f>
        <v>0</v>
      </c>
      <c r="I18" s="234">
        <f t="shared" si="0"/>
        <v>0</v>
      </c>
    </row>
    <row r="19" spans="1:9" ht="12.75">
      <c r="A19" s="452"/>
      <c r="B19" s="466"/>
      <c r="C19" s="465"/>
      <c r="D19" s="52"/>
      <c r="E19" s="3">
        <f>Ref!A21</f>
        <v>39630</v>
      </c>
      <c r="F19" s="3" t="str">
        <f>Ref!B21</f>
        <v>Temmuz-2008 Ödentisi</v>
      </c>
      <c r="G19" s="236">
        <f>IF(Ref!$B$1&gt;=Ref!$A21,Ref!C21,0)</f>
        <v>0</v>
      </c>
      <c r="H19" s="236">
        <f>IF(Ref!$B$1&gt;=Ref!$A21,Ref!D21,0)</f>
        <v>0</v>
      </c>
      <c r="I19" s="234">
        <f t="shared" si="0"/>
        <v>0</v>
      </c>
    </row>
    <row r="20" spans="1:9" ht="13.5" thickBot="1">
      <c r="A20" s="452"/>
      <c r="B20" s="466"/>
      <c r="C20" s="465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1790</v>
      </c>
      <c r="D21" s="51"/>
      <c r="F21" s="8" t="s">
        <v>62</v>
      </c>
      <c r="G21" s="237">
        <f>SUM(G6:G19)</f>
        <v>1790</v>
      </c>
      <c r="H21" s="237">
        <f>SUM(H6:H19)</f>
        <v>0</v>
      </c>
      <c r="I21" s="238">
        <f>SUM(I6:I20)</f>
        <v>1790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IF(Ref!$B$1&lt;Ref!$A10,Ref!D10,"-")</f>
        <v>-</v>
      </c>
      <c r="C26" s="54"/>
      <c r="D26" s="29"/>
      <c r="E26" s="28"/>
      <c r="F26" s="96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IF(Ref!$B$1&lt;Ref!$A11,Ref!D11,"-")</f>
        <v>-</v>
      </c>
      <c r="C27" s="54"/>
      <c r="D27" s="29"/>
      <c r="E27" s="28"/>
      <c r="F27" s="247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IF(Ref!$B$1&lt;Ref!$A12,Ref!D12,"-")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IF(Ref!$B$1&lt;Ref!$A13,Ref!D13,"-")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IF(Ref!$B$1&lt;Ref!$A14,Ref!D14,"-")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IF(Ref!$B$1&lt;Ref!$A15,Ref!D15,"-")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IF(Ref!$B$1&lt;Ref!$A16,Ref!D16,"-")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IF(Ref!$B$1&lt;Ref!$A17,Ref!D17,"-")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IF(Ref!$B$1&lt;Ref!$A18,Ref!D18,"-")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IF(Ref!$B$1&lt;Ref!$A19,Ref!D19,"-")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IF(Ref!$B$1&lt;Ref!$A20,Ref!D20,"-")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IF(Ref!$B$1&lt;Ref!$A21,Ref!D21,"-")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8" r:id="rId45"/>
  <drawing r:id="rId4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4">
    <tabColor indexed="42"/>
    <pageSetUpPr fitToPage="1"/>
  </sheetPr>
  <dimension ref="A1:I95"/>
  <sheetViews>
    <sheetView zoomScale="85" zoomScaleNormal="85" workbookViewId="0" topLeftCell="A1">
      <selection activeCell="C16" sqref="C16"/>
    </sheetView>
  </sheetViews>
  <sheetFormatPr defaultColWidth="9.140625" defaultRowHeight="12.75"/>
  <cols>
    <col min="1" max="1" width="11.57421875" style="3" customWidth="1"/>
    <col min="2" max="2" width="24.421875" style="0" customWidth="1"/>
    <col min="3" max="3" width="17.140625" style="4" customWidth="1"/>
    <col min="4" max="4" width="5.8515625" style="0" customWidth="1"/>
    <col min="5" max="5" width="11.57421875" style="3" customWidth="1"/>
    <col min="6" max="6" width="20.421875" style="0" bestFit="1" customWidth="1"/>
    <col min="7" max="7" width="17.57421875" style="0" customWidth="1"/>
    <col min="8" max="8" width="11.57421875" style="0" bestFit="1" customWidth="1"/>
    <col min="9" max="9" width="17.57421875" style="2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7</v>
      </c>
      <c r="B2" s="69" t="str">
        <f>Ref!B30</f>
        <v>STROHKORB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39269</v>
      </c>
      <c r="B6" s="407" t="s">
        <v>366</v>
      </c>
      <c r="C6" s="409">
        <v>140</v>
      </c>
      <c r="D6" s="52"/>
      <c r="E6" s="3">
        <f>Ref!A8</f>
        <v>39239</v>
      </c>
      <c r="F6" s="3" t="str">
        <f>Ref!B7</f>
        <v>Devreden Alacak</v>
      </c>
      <c r="G6" s="510">
        <v>0</v>
      </c>
      <c r="H6" s="217"/>
      <c r="I6" s="234">
        <f>SUM(G6:H6)</f>
        <v>0</v>
      </c>
    </row>
    <row r="7" spans="1:9" ht="12.75">
      <c r="A7" s="452">
        <v>39297</v>
      </c>
      <c r="B7" s="407" t="s">
        <v>365</v>
      </c>
      <c r="C7" s="409">
        <v>140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IF(Ref!$B$1&gt;=Ref!$A9,Ref!E9,0)</f>
        <v>140</v>
      </c>
      <c r="H7" s="236">
        <f>IF(Ref!$B$1&gt;=Ref!$A9,Ref!F9,0)</f>
        <v>0</v>
      </c>
      <c r="I7" s="234">
        <f>SUM(G7:H7)</f>
        <v>140</v>
      </c>
    </row>
    <row r="8" spans="1:9" ht="12.75">
      <c r="A8" s="452">
        <v>39329</v>
      </c>
      <c r="B8" s="407" t="s">
        <v>394</v>
      </c>
      <c r="C8" s="409">
        <v>140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IF(Ref!$B$1&gt;=Ref!$A10,Ref!E10,0)</f>
        <v>140</v>
      </c>
      <c r="H8" s="236">
        <f>IF(Ref!$B$1&gt;=Ref!$A10,Ref!F10,0)</f>
        <v>0</v>
      </c>
      <c r="I8" s="234">
        <f aca="true" t="shared" si="0" ref="I8:I19">SUM(G8:H8)</f>
        <v>140</v>
      </c>
    </row>
    <row r="9" spans="1:9" ht="12.75">
      <c r="A9" s="452">
        <v>39358</v>
      </c>
      <c r="B9" s="407" t="s">
        <v>420</v>
      </c>
      <c r="C9" s="409">
        <v>140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IF(Ref!$B$1&gt;=Ref!$A11,Ref!E11,0)</f>
        <v>140</v>
      </c>
      <c r="H9" s="236">
        <f>IF(Ref!$B$1&gt;=Ref!$A11,Ref!F11,0)</f>
        <v>0</v>
      </c>
      <c r="I9" s="234">
        <f t="shared" si="0"/>
        <v>140</v>
      </c>
    </row>
    <row r="10" spans="1:9" ht="12.75">
      <c r="A10" s="452">
        <v>39391</v>
      </c>
      <c r="B10" s="407" t="s">
        <v>450</v>
      </c>
      <c r="C10" s="409">
        <v>140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IF(Ref!$B$1&gt;=Ref!$A12,Ref!E12,0)</f>
        <v>140</v>
      </c>
      <c r="H10" s="236">
        <f>IF(Ref!$B$1&gt;=Ref!$A12,Ref!F12,0)</f>
        <v>0</v>
      </c>
      <c r="I10" s="234">
        <f t="shared" si="0"/>
        <v>140</v>
      </c>
    </row>
    <row r="11" spans="1:9" ht="12.75">
      <c r="A11" s="452">
        <v>39419</v>
      </c>
      <c r="B11" s="407" t="s">
        <v>475</v>
      </c>
      <c r="C11" s="409">
        <v>140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IF(Ref!$B$1&gt;=Ref!$A13,Ref!E13,0)</f>
        <v>140</v>
      </c>
      <c r="H11" s="236">
        <f>IF(Ref!$B$1&gt;=Ref!$A13,Ref!F13,0)</f>
        <v>0</v>
      </c>
      <c r="I11" s="234">
        <f t="shared" si="0"/>
        <v>140</v>
      </c>
    </row>
    <row r="12" spans="1:9" ht="12.75">
      <c r="A12" s="452">
        <v>39451</v>
      </c>
      <c r="B12" s="407" t="s">
        <v>504</v>
      </c>
      <c r="C12" s="409">
        <v>140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IF(Ref!$B$1&gt;=Ref!$A14,Ref!E14,0)</f>
        <v>140</v>
      </c>
      <c r="H12" s="236">
        <f>IF(Ref!$B$1&gt;=Ref!$A14,Ref!F14,0)</f>
        <v>0</v>
      </c>
      <c r="I12" s="234">
        <f t="shared" si="0"/>
        <v>140</v>
      </c>
    </row>
    <row r="13" spans="1:9" ht="12.75">
      <c r="A13" s="452">
        <v>39482</v>
      </c>
      <c r="B13" s="407" t="s">
        <v>524</v>
      </c>
      <c r="C13" s="409">
        <v>140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IF(Ref!$B$1&gt;=Ref!$A15,Ref!E15,0)</f>
        <v>140</v>
      </c>
      <c r="H13" s="236">
        <f>IF(Ref!$B$1&gt;=Ref!$A15,Ref!F15,0)</f>
        <v>0</v>
      </c>
      <c r="I13" s="234">
        <f t="shared" si="0"/>
        <v>140</v>
      </c>
    </row>
    <row r="14" spans="1:9" ht="12.75">
      <c r="A14" s="452">
        <v>39510</v>
      </c>
      <c r="B14" s="407" t="s">
        <v>550</v>
      </c>
      <c r="C14" s="409">
        <v>140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IF(Ref!$B$1&gt;=Ref!$A16,Ref!E16,0)</f>
        <v>140</v>
      </c>
      <c r="H14" s="236">
        <f>IF(Ref!$B$1&gt;=Ref!$A16,Ref!F16,0)</f>
        <v>0</v>
      </c>
      <c r="I14" s="234">
        <f t="shared" si="0"/>
        <v>140</v>
      </c>
    </row>
    <row r="15" spans="1:9" ht="12.75">
      <c r="A15" s="452">
        <v>39541</v>
      </c>
      <c r="B15" s="407" t="s">
        <v>582</v>
      </c>
      <c r="C15" s="409">
        <v>140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IF(Ref!$B$1&gt;=Ref!$A17,Ref!E17,0)</f>
        <v>140</v>
      </c>
      <c r="H15" s="236">
        <f>IF(Ref!$B$1&gt;=Ref!$A17,Ref!F17,0)</f>
        <v>0</v>
      </c>
      <c r="I15" s="234">
        <f t="shared" si="0"/>
        <v>140</v>
      </c>
    </row>
    <row r="16" spans="1:9" ht="12.75">
      <c r="A16" s="452">
        <v>39577</v>
      </c>
      <c r="B16" s="407" t="s">
        <v>612</v>
      </c>
      <c r="C16" s="409">
        <v>140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IF(Ref!$B$1&gt;=Ref!$A18,Ref!E18,0)</f>
        <v>140</v>
      </c>
      <c r="H16" s="236">
        <f>IF(Ref!$B$1&gt;=Ref!$A18,Ref!F18,0)</f>
        <v>0</v>
      </c>
      <c r="I16" s="234">
        <f t="shared" si="0"/>
        <v>140</v>
      </c>
    </row>
    <row r="17" spans="1:9" ht="12.75">
      <c r="A17" s="452"/>
      <c r="B17" s="407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IF(Ref!$B$1&gt;=Ref!$A19,Ref!E19,0)</f>
        <v>140</v>
      </c>
      <c r="H17" s="236">
        <f>IF(Ref!$B$1&gt;=Ref!$A19,Ref!F19,0)</f>
        <v>0</v>
      </c>
      <c r="I17" s="234">
        <f t="shared" si="0"/>
        <v>140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IF(Ref!$B$1&gt;=Ref!$A20,Ref!E20,0)</f>
        <v>0</v>
      </c>
      <c r="H18" s="236">
        <f>IF(Ref!$B$1&gt;=Ref!$A20,Ref!F20,0)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IF(Ref!$B$1&gt;=Ref!$A21,Ref!E21,0)</f>
        <v>0</v>
      </c>
      <c r="H19" s="236">
        <f>IF(Ref!$B$1&gt;=Ref!$A21,Ref!F21,0)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1540</v>
      </c>
      <c r="D21" s="51"/>
      <c r="F21" s="8" t="s">
        <v>62</v>
      </c>
      <c r="G21" s="237">
        <f>SUM(G6:G19)</f>
        <v>1540</v>
      </c>
      <c r="H21" s="237">
        <f>SUM(H6:H19)</f>
        <v>0</v>
      </c>
      <c r="I21" s="238">
        <f>SUM(I6:I20)</f>
        <v>1540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IF(Ref!$B$1&lt;Ref!$A10,Ref!F10,"-")</f>
        <v>-</v>
      </c>
      <c r="C26" s="54"/>
      <c r="D26" s="29"/>
      <c r="E26" s="28"/>
      <c r="F26" s="97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IF(Ref!$B$1&lt;Ref!$A11,Ref!F11,"-")</f>
        <v>-</v>
      </c>
      <c r="C27" s="54"/>
      <c r="D27" s="29"/>
      <c r="E27" s="28"/>
      <c r="F27" s="248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IF(Ref!$B$1&lt;Ref!$A12,Ref!F12,"-")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IF(Ref!$B$1&lt;Ref!$A13,Ref!F13,"-")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IF(Ref!$B$1&lt;Ref!$A14,Ref!F14,"-")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IF(Ref!$B$1&lt;Ref!$A15,Ref!F15,"-")</f>
        <v>-</v>
      </c>
      <c r="C31" s="54"/>
      <c r="D31" s="71" t="s">
        <v>93</v>
      </c>
      <c r="E31" s="72"/>
      <c r="F31" s="98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IF(Ref!$B$1&lt;Ref!$A16,Ref!F16,"-")</f>
        <v>-</v>
      </c>
      <c r="C32" s="54"/>
      <c r="D32" s="74" t="s">
        <v>94</v>
      </c>
      <c r="E32" s="75"/>
      <c r="F32" s="99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IF(Ref!$B$1&lt;Ref!$A17,Ref!F17,"-")</f>
        <v>-</v>
      </c>
      <c r="C33" s="54"/>
      <c r="D33" s="77" t="s">
        <v>95</v>
      </c>
      <c r="E33" s="78"/>
      <c r="F33" s="100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IF(Ref!$B$1&lt;Ref!$A18,Ref!F18,"-")</f>
        <v>-</v>
      </c>
      <c r="C34" s="54"/>
      <c r="D34" s="74" t="s">
        <v>96</v>
      </c>
      <c r="E34" s="75"/>
      <c r="F34" s="99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IF(Ref!$B$1&lt;Ref!$A19,Ref!F19,"-")</f>
        <v>-</v>
      </c>
      <c r="C35" s="54"/>
      <c r="D35" s="74"/>
      <c r="E35" s="75" t="s">
        <v>97</v>
      </c>
      <c r="F35" s="99"/>
      <c r="G35" s="40"/>
      <c r="H35" s="56"/>
      <c r="I35" s="27"/>
    </row>
    <row r="36" spans="1:9" ht="12.75">
      <c r="A36" s="20">
        <f>IF(Ref!$B$1&lt;Ref!$A20,Ref!A20,"-")</f>
        <v>39600</v>
      </c>
      <c r="B36" s="246">
        <f>IF(Ref!$B$1&lt;Ref!$A20,Ref!F20,"-")</f>
        <v>0</v>
      </c>
      <c r="C36" s="54"/>
      <c r="D36" s="80" t="s">
        <v>98</v>
      </c>
      <c r="E36" s="49"/>
      <c r="F36" s="101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IF(Ref!$B$1&lt;Ref!$A21,Ref!F21,"-")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" r:id="rId18" display="=@IF(G1&gt;H1,&quot;*&quot;,&quot;-&quot;)"/>
    <hyperlink ref="B28" r:id="rId19" display="=@IF(G1&gt;H1,&quot;*&quot;,&quot;-&quot;)"/>
    <hyperlink ref="B29" r:id="rId20" display="=@IF(G1&gt;H1,&quot;*&quot;,&quot;-&quot;)"/>
    <hyperlink ref="B30" r:id="rId21" display="=@IF(G1&gt;H1,&quot;*&quot;,&quot;-&quot;)"/>
    <hyperlink ref="B31" r:id="rId22" display="=@IF(G1&gt;H1,&quot;*&quot;,&quot;-&quot;)"/>
    <hyperlink ref="B32" r:id="rId23" display="=@IF(G1&gt;H1,&quot;*&quot;,&quot;-&quot;)"/>
    <hyperlink ref="B33" r:id="rId24" display="=@IF(G1&gt;H1,&quot;*&quot;,&quot;-&quot;)"/>
    <hyperlink ref="B34" r:id="rId25" display="=@IF(G1&gt;H1,&quot;*&quot;,&quot;-&quot;)"/>
    <hyperlink ref="B35" r:id="rId26" display="=@IF(G1&gt;H1,&quot;*&quot;,&quot;-&quot;)"/>
    <hyperlink ref="B36" r:id="rId27" display="=@IF(G1&gt;H1,&quot;*&quot;,&quot;-&quot;)"/>
    <hyperlink ref="B37" r:id="rId28" display="=@IF(G1&gt;H1,&quot;*&quot;,&quot;-&quot;)"/>
    <hyperlink ref="H2" r:id="rId29" display="=@today()"/>
    <hyperlink ref="G8" r:id="rId30" display="=@IF(G1&gt;H1,&quot;*&quot;,&quot;-&quot;)"/>
    <hyperlink ref="G9" r:id="rId31" display="=@IF(G1&gt;H1,&quot;*&quot;,&quot;-&quot;)"/>
    <hyperlink ref="G10" r:id="rId32" display="=@IF(G1&gt;H1,&quot;*&quot;,&quot;-&quot;)"/>
    <hyperlink ref="G11" r:id="rId33" display="=@IF(G1&gt;H1,&quot;*&quot;,&quot;-&quot;)"/>
    <hyperlink ref="G12" r:id="rId34" display="=@IF(G1&gt;H1,&quot;*&quot;,&quot;-&quot;)"/>
    <hyperlink ref="G13" r:id="rId35" display="=@IF(G1&gt;H1,&quot;*&quot;,&quot;-&quot;)"/>
    <hyperlink ref="G14" r:id="rId36" display="=@IF(G1&gt;H1,&quot;*&quot;,&quot;-&quot;)"/>
    <hyperlink ref="G15" r:id="rId37" display="=@IF(G1&gt;H1,&quot;*&quot;,&quot;-&quot;)"/>
    <hyperlink ref="G16" r:id="rId38" display="=@IF(G1&gt;H1,&quot;*&quot;,&quot;-&quot;)"/>
    <hyperlink ref="G17" r:id="rId39" display="=@IF(G1&gt;H1,&quot;*&quot;,&quot;-&quot;)"/>
    <hyperlink ref="G18" r:id="rId40" display="=@IF(G1&gt;H1,&quot;*&quot;,&quot;-&quot;)"/>
    <hyperlink ref="G19" r:id="rId41" display="=@IF(G1&gt;H1,&quot;*&quot;,&quot;-&quot;)"/>
    <hyperlink ref="H8" r:id="rId42" display="=@IF(G1&gt;H1,&quot;*&quot;,&quot;-&quot;)"/>
    <hyperlink ref="H9" r:id="rId43" display="=@IF(G1&gt;H1,&quot;*&quot;,&quot;-&quot;)"/>
    <hyperlink ref="H10" r:id="rId44" display="=@IF(G1&gt;H1,&quot;*&quot;,&quot;-&quot;)"/>
    <hyperlink ref="H11" r:id="rId45" display="=@IF(G1&gt;H1,&quot;*&quot;,&quot;-&quot;)"/>
    <hyperlink ref="H12" r:id="rId46" display="=@IF(G1&gt;H1,&quot;*&quot;,&quot;-&quot;)"/>
    <hyperlink ref="H13" r:id="rId47" display="=@IF(G1&gt;H1,&quot;*&quot;,&quot;-&quot;)"/>
    <hyperlink ref="H14" r:id="rId48" display="=@IF(G1&gt;H1,&quot;*&quot;,&quot;-&quot;)"/>
    <hyperlink ref="H15" r:id="rId49" display="=@IF(G1&gt;H1,&quot;*&quot;,&quot;-&quot;)"/>
    <hyperlink ref="H16" r:id="rId50" display="=@IF(G1&gt;H1,&quot;*&quot;,&quot;-&quot;)"/>
    <hyperlink ref="H17" r:id="rId51" display="=@IF(G1&gt;H1,&quot;*&quot;,&quot;-&quot;)"/>
    <hyperlink ref="H18" r:id="rId52" display="=@IF(G1&gt;H1,&quot;*&quot;,&quot;-&quot;)"/>
    <hyperlink ref="H19" r:id="rId5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9" r:id="rId55"/>
  <drawing r:id="rId5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5">
    <tabColor indexed="41"/>
    <pageSetUpPr fitToPage="1"/>
  </sheetPr>
  <dimension ref="A1:I98"/>
  <sheetViews>
    <sheetView zoomScale="85" zoomScaleNormal="85" workbookViewId="0" topLeftCell="A1">
      <selection activeCell="C17" sqref="C17"/>
    </sheetView>
  </sheetViews>
  <sheetFormatPr defaultColWidth="9.140625" defaultRowHeight="12.75"/>
  <cols>
    <col min="1" max="1" width="11.57421875" style="3" customWidth="1"/>
    <col min="2" max="2" width="22.140625" style="0" customWidth="1"/>
    <col min="3" max="3" width="17.57421875" style="4" customWidth="1"/>
    <col min="4" max="4" width="5.8515625" style="0" customWidth="1"/>
    <col min="5" max="5" width="11.57421875" style="3" customWidth="1"/>
    <col min="6" max="6" width="22.8515625" style="0" bestFit="1" customWidth="1"/>
    <col min="7" max="7" width="17.7109375" style="0" bestFit="1" customWidth="1"/>
    <col min="8" max="8" width="16.00390625" style="0" bestFit="1" customWidth="1"/>
    <col min="9" max="9" width="18.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8</v>
      </c>
      <c r="B2" s="69" t="str">
        <f>Ref!B31</f>
        <v>Tülin TÜRER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39259</v>
      </c>
      <c r="B6" s="407" t="s">
        <v>337</v>
      </c>
      <c r="C6" s="409">
        <v>140</v>
      </c>
      <c r="D6" s="52"/>
      <c r="E6" s="3">
        <f>Ref!A8</f>
        <v>39239</v>
      </c>
      <c r="F6" s="3" t="str">
        <f>Ref!B8</f>
        <v>Devreden Borç</v>
      </c>
      <c r="G6" s="242">
        <v>140</v>
      </c>
      <c r="H6" s="217"/>
      <c r="I6" s="234">
        <f>SUM(G6:H6)</f>
        <v>140</v>
      </c>
    </row>
    <row r="7" spans="1:9" ht="12.75">
      <c r="A7" s="452">
        <v>39323</v>
      </c>
      <c r="B7" s="407" t="s">
        <v>389</v>
      </c>
      <c r="C7" s="409">
        <v>150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IF(Ref!$B$1&gt;=Ref!$A9,Ref!C9,0)</f>
        <v>150</v>
      </c>
      <c r="H7" s="236">
        <f>IF(Ref!$B$1&gt;=Ref!$A9,Ref!D9,0)</f>
        <v>0</v>
      </c>
      <c r="I7" s="234">
        <f>SUM(G7:H7)</f>
        <v>150</v>
      </c>
    </row>
    <row r="8" spans="1:9" ht="12.75">
      <c r="A8" s="452">
        <v>39325</v>
      </c>
      <c r="B8" s="407" t="s">
        <v>390</v>
      </c>
      <c r="C8" s="409">
        <v>150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IF(Ref!$B$1&gt;=Ref!$A10,Ref!C10,0)</f>
        <v>150</v>
      </c>
      <c r="H8" s="236">
        <f>IF(Ref!$B$1&gt;=Ref!$A10,Ref!D10,0)</f>
        <v>0</v>
      </c>
      <c r="I8" s="234">
        <f aca="true" t="shared" si="0" ref="I8:I19">SUM(G8:H8)</f>
        <v>150</v>
      </c>
    </row>
    <row r="9" spans="1:9" ht="12.75">
      <c r="A9" s="452">
        <v>39353</v>
      </c>
      <c r="B9" s="407" t="s">
        <v>412</v>
      </c>
      <c r="C9" s="409">
        <v>150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IF(Ref!$B$1&gt;=Ref!$A11,Ref!C11,0)</f>
        <v>150</v>
      </c>
      <c r="H9" s="236">
        <f>IF(Ref!$B$1&gt;=Ref!$A11,Ref!D11,0)</f>
        <v>0</v>
      </c>
      <c r="I9" s="234">
        <f t="shared" si="0"/>
        <v>150</v>
      </c>
    </row>
    <row r="10" spans="1:9" ht="12.75">
      <c r="A10" s="452">
        <v>39385</v>
      </c>
      <c r="B10" s="407" t="s">
        <v>447</v>
      </c>
      <c r="C10" s="409">
        <v>150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IF(Ref!$B$1&gt;=Ref!$A12,Ref!C12,0)</f>
        <v>150</v>
      </c>
      <c r="H10" s="236">
        <f>IF(Ref!$B$1&gt;=Ref!$A12,Ref!D12,0)</f>
        <v>0</v>
      </c>
      <c r="I10" s="234">
        <f t="shared" si="0"/>
        <v>150</v>
      </c>
    </row>
    <row r="11" spans="1:9" ht="12.75">
      <c r="A11" s="452">
        <v>39412</v>
      </c>
      <c r="B11" s="407" t="s">
        <v>469</v>
      </c>
      <c r="C11" s="409">
        <v>150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IF(Ref!$B$1&gt;=Ref!$A13,Ref!C13,0)</f>
        <v>150</v>
      </c>
      <c r="H11" s="236">
        <f>IF(Ref!$B$1&gt;=Ref!$A13,Ref!D13,0)</f>
        <v>0</v>
      </c>
      <c r="I11" s="234">
        <f t="shared" si="0"/>
        <v>150</v>
      </c>
    </row>
    <row r="12" spans="1:9" ht="12.75">
      <c r="A12" s="452">
        <v>39441</v>
      </c>
      <c r="B12" s="407" t="s">
        <v>491</v>
      </c>
      <c r="C12" s="409">
        <v>150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IF(Ref!$B$1&gt;=Ref!$A14,Ref!C14,0)</f>
        <v>150</v>
      </c>
      <c r="H12" s="236">
        <f>IF(Ref!$B$1&gt;=Ref!$A14,Ref!D14,0)</f>
        <v>0</v>
      </c>
      <c r="I12" s="234">
        <f t="shared" si="0"/>
        <v>150</v>
      </c>
    </row>
    <row r="13" spans="1:9" ht="12.75">
      <c r="A13" s="452">
        <v>39475</v>
      </c>
      <c r="B13" s="407" t="s">
        <v>514</v>
      </c>
      <c r="C13" s="409">
        <v>150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IF(Ref!$B$1&gt;=Ref!$A15,Ref!C15,0)</f>
        <v>150</v>
      </c>
      <c r="H13" s="236">
        <f>IF(Ref!$B$1&gt;=Ref!$A15,Ref!D15,0)</f>
        <v>0</v>
      </c>
      <c r="I13" s="234">
        <f t="shared" si="0"/>
        <v>150</v>
      </c>
    </row>
    <row r="14" spans="1:9" ht="12.75">
      <c r="A14" s="452">
        <v>39510</v>
      </c>
      <c r="B14" s="407" t="s">
        <v>551</v>
      </c>
      <c r="C14" s="409">
        <v>150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IF(Ref!$B$1&gt;=Ref!$A16,Ref!C16,0)</f>
        <v>150</v>
      </c>
      <c r="H14" s="236">
        <f>IF(Ref!$B$1&gt;=Ref!$A16,Ref!D16,0)</f>
        <v>0</v>
      </c>
      <c r="I14" s="234">
        <f t="shared" si="0"/>
        <v>150</v>
      </c>
    </row>
    <row r="15" spans="1:9" ht="12.75">
      <c r="A15" s="452">
        <v>39534</v>
      </c>
      <c r="B15" s="407" t="s">
        <v>572</v>
      </c>
      <c r="C15" s="409">
        <v>150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IF(Ref!$B$1&gt;=Ref!$A17,Ref!C17,0)</f>
        <v>150</v>
      </c>
      <c r="H15" s="236">
        <f>IF(Ref!$B$1&gt;=Ref!$A17,Ref!D17,0)</f>
        <v>0</v>
      </c>
      <c r="I15" s="234">
        <f t="shared" si="0"/>
        <v>150</v>
      </c>
    </row>
    <row r="16" spans="1:9" ht="12.75">
      <c r="A16" s="452">
        <v>39566</v>
      </c>
      <c r="B16" s="407" t="s">
        <v>596</v>
      </c>
      <c r="C16" s="409">
        <v>150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IF(Ref!$B$1&gt;=Ref!$A18,Ref!C18,0)</f>
        <v>150</v>
      </c>
      <c r="H16" s="236">
        <f>IF(Ref!$B$1&gt;=Ref!$A18,Ref!D18,0)</f>
        <v>0</v>
      </c>
      <c r="I16" s="234">
        <f t="shared" si="0"/>
        <v>150</v>
      </c>
    </row>
    <row r="17" spans="1:9" ht="12.75">
      <c r="A17" s="452">
        <v>39594</v>
      </c>
      <c r="B17" s="407" t="s">
        <v>621</v>
      </c>
      <c r="C17" s="409">
        <v>150</v>
      </c>
      <c r="D17" s="52"/>
      <c r="E17" s="3">
        <f>Ref!A19</f>
        <v>39569</v>
      </c>
      <c r="F17" s="3" t="str">
        <f>Ref!B19</f>
        <v>Mayıs-2008 Ödentisi</v>
      </c>
      <c r="G17" s="236">
        <f>IF(Ref!$B$1&gt;=Ref!$A19,Ref!C19,0)</f>
        <v>150</v>
      </c>
      <c r="H17" s="236">
        <f>IF(Ref!$B$1&gt;=Ref!$A19,Ref!D19,0)</f>
        <v>0</v>
      </c>
      <c r="I17" s="234">
        <f t="shared" si="0"/>
        <v>150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IF(Ref!$B$1&gt;=Ref!$A20,Ref!C20,0)</f>
        <v>0</v>
      </c>
      <c r="H18" s="236">
        <f>IF(Ref!$B$1&gt;=Ref!$A20,Ref!D20,0)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IF(Ref!$B$1&gt;=Ref!$A21,Ref!C21,0)</f>
        <v>0</v>
      </c>
      <c r="H19" s="236">
        <f>IF(Ref!$B$1&gt;=Ref!$A21,Ref!D21,0)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1790</v>
      </c>
      <c r="D21" s="51"/>
      <c r="F21" s="8" t="s">
        <v>62</v>
      </c>
      <c r="G21" s="237">
        <f>SUM(G6:G19)</f>
        <v>1790</v>
      </c>
      <c r="H21" s="237">
        <f>SUM(H6:H19)</f>
        <v>0</v>
      </c>
      <c r="I21" s="238">
        <f>SUM(I6:I20)</f>
        <v>1790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36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IF(Ref!$B$1&lt;Ref!$A10,Ref!D10,"-")</f>
        <v>-</v>
      </c>
      <c r="C26" s="54"/>
      <c r="D26" s="29"/>
      <c r="E26" s="28"/>
      <c r="F26" s="96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5.75">
      <c r="A27" s="20" t="str">
        <f>IF(Ref!$B$1&lt;Ref!$A11,Ref!A11,"-")</f>
        <v>-</v>
      </c>
      <c r="B27" s="246" t="str">
        <f>IF(Ref!$B$1&lt;Ref!$A11,Ref!D11,"-")</f>
        <v>-</v>
      </c>
      <c r="C27" s="54"/>
      <c r="D27" s="29"/>
      <c r="E27" s="28"/>
      <c r="F27" s="239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IF(Ref!$B$1&lt;Ref!$A12,Ref!D12,"-")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IF(Ref!$B$1&lt;Ref!$A13,Ref!D13,"-")</f>
        <v>-</v>
      </c>
      <c r="C29" s="54"/>
      <c r="D29" s="29"/>
      <c r="E29" s="28"/>
      <c r="F29" s="29"/>
      <c r="G29" s="40"/>
      <c r="H29" s="56"/>
      <c r="I29" s="27"/>
    </row>
    <row r="30" spans="1:9" ht="13.5" thickBot="1">
      <c r="A30" s="20" t="str">
        <f>IF(Ref!$B$1&lt;Ref!$A14,Ref!A14,"-")</f>
        <v>-</v>
      </c>
      <c r="B30" s="246" t="str">
        <f>IF(Ref!$B$1&lt;Ref!$A14,Ref!D14,"-")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IF(Ref!$B$1&lt;Ref!$A15,Ref!D15,"-")</f>
        <v>-</v>
      </c>
      <c r="C31" s="54"/>
      <c r="D31" s="90" t="s">
        <v>93</v>
      </c>
      <c r="E31" s="91"/>
      <c r="F31" s="92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IF(Ref!$B$1&lt;Ref!$A16,Ref!D16,"-")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IF(Ref!$B$1&lt;Ref!$A17,Ref!D17,"-")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IF(Ref!$B$1&lt;Ref!$A18,Ref!D18,"-")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IF(Ref!$B$1&lt;Ref!$A19,Ref!D19,"-")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IF(Ref!$B$1&lt;Ref!$A20,Ref!D20,"-")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IF(Ref!$B$1&lt;Ref!$A21,Ref!D21,"-")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spans="1:5" ht="12.75">
      <c r="A40"/>
      <c r="C40"/>
      <c r="E40"/>
    </row>
    <row r="41" spans="1:5" ht="12.75">
      <c r="A41"/>
      <c r="C41"/>
      <c r="E41"/>
    </row>
    <row r="42" spans="1:5" ht="12.75">
      <c r="A42"/>
      <c r="C42"/>
      <c r="E42"/>
    </row>
    <row r="43" spans="1:9" ht="12.75">
      <c r="A43"/>
      <c r="C43"/>
      <c r="E43"/>
      <c r="I43" s="110"/>
    </row>
    <row r="44" spans="1:5" ht="12.75">
      <c r="A44"/>
      <c r="C44"/>
      <c r="E44"/>
    </row>
    <row r="45" spans="1:5" ht="12.75">
      <c r="A45"/>
      <c r="C45"/>
      <c r="E45"/>
    </row>
    <row r="46" spans="1:5" ht="12.75">
      <c r="A46"/>
      <c r="C46"/>
      <c r="E46"/>
    </row>
    <row r="47" spans="1:5" ht="12.75">
      <c r="A47"/>
      <c r="C47"/>
      <c r="E47"/>
    </row>
    <row r="48" spans="1:5" ht="12.75">
      <c r="A48"/>
      <c r="C48"/>
      <c r="E48"/>
    </row>
    <row r="49" spans="1:5" ht="12.75">
      <c r="A49"/>
      <c r="C49"/>
      <c r="E49"/>
    </row>
    <row r="50" spans="1:5" ht="12.75">
      <c r="A50"/>
      <c r="C50"/>
      <c r="E50"/>
    </row>
    <row r="51" spans="1:5" ht="12.75">
      <c r="A51"/>
      <c r="C51"/>
      <c r="E51"/>
    </row>
    <row r="52" spans="1:5" ht="12.75">
      <c r="A52"/>
      <c r="C52"/>
      <c r="E52"/>
    </row>
    <row r="53" spans="1:5" ht="12.75">
      <c r="A53"/>
      <c r="C53"/>
      <c r="E53"/>
    </row>
    <row r="54" spans="1:5" ht="12.75">
      <c r="A54"/>
      <c r="C54"/>
      <c r="E54"/>
    </row>
    <row r="55" spans="1:5" ht="12.75">
      <c r="A55"/>
      <c r="C55"/>
      <c r="E55"/>
    </row>
    <row r="56" spans="1:5" ht="12.75">
      <c r="A56"/>
      <c r="C56"/>
      <c r="E56"/>
    </row>
    <row r="57" spans="1:5" ht="12.75">
      <c r="A57"/>
      <c r="C57"/>
      <c r="E57"/>
    </row>
    <row r="58" spans="1:5" ht="12.75">
      <c r="A58"/>
      <c r="C58"/>
      <c r="E58"/>
    </row>
    <row r="59" spans="1:5" ht="12.75">
      <c r="A59"/>
      <c r="C59"/>
      <c r="E59"/>
    </row>
    <row r="60" spans="1:5" ht="12.75">
      <c r="A60"/>
      <c r="C60"/>
      <c r="E60"/>
    </row>
    <row r="61" spans="1:5" ht="12.75">
      <c r="A61"/>
      <c r="C61"/>
      <c r="E61"/>
    </row>
    <row r="62" spans="1:5" ht="12.75">
      <c r="A62"/>
      <c r="C62"/>
      <c r="E62"/>
    </row>
    <row r="63" spans="1:5" ht="12.75">
      <c r="A63"/>
      <c r="C63"/>
      <c r="E63"/>
    </row>
    <row r="64" spans="1:5" ht="12.75">
      <c r="A64"/>
      <c r="C64"/>
      <c r="E64"/>
    </row>
    <row r="65" spans="1:5" ht="12.75">
      <c r="A65"/>
      <c r="C65"/>
      <c r="E65"/>
    </row>
    <row r="66" spans="1:5" ht="12.75">
      <c r="A66"/>
      <c r="C66"/>
      <c r="E66"/>
    </row>
    <row r="67" spans="1:5" ht="12.75">
      <c r="A67"/>
      <c r="C67"/>
      <c r="E67"/>
    </row>
    <row r="68" spans="1:5" ht="12.75">
      <c r="A68"/>
      <c r="C68"/>
      <c r="E68"/>
    </row>
    <row r="69" spans="1:5" ht="12.75">
      <c r="A69"/>
      <c r="C69"/>
      <c r="E69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3" r:id="rId45"/>
  <drawing r:id="rId4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6">
    <tabColor indexed="42"/>
    <pageSetUpPr fitToPage="1"/>
  </sheetPr>
  <dimension ref="A1:I95"/>
  <sheetViews>
    <sheetView zoomScale="85" zoomScaleNormal="85" workbookViewId="0" topLeftCell="A1">
      <selection activeCell="C12" sqref="C12"/>
    </sheetView>
  </sheetViews>
  <sheetFormatPr defaultColWidth="9.140625" defaultRowHeight="12.75"/>
  <cols>
    <col min="1" max="1" width="11.57421875" style="3" customWidth="1"/>
    <col min="2" max="2" width="23.00390625" style="0" customWidth="1"/>
    <col min="3" max="3" width="17.140625" style="4" customWidth="1"/>
    <col min="4" max="4" width="5.8515625" style="0" customWidth="1"/>
    <col min="5" max="5" width="11.57421875" style="3" customWidth="1"/>
    <col min="6" max="6" width="22.140625" style="0" customWidth="1"/>
    <col min="7" max="7" width="17.57421875" style="0" customWidth="1"/>
    <col min="8" max="8" width="11.57421875" style="0" bestFit="1" customWidth="1"/>
    <col min="9" max="9" width="17.28125" style="2" bestFit="1" customWidth="1"/>
  </cols>
  <sheetData>
    <row r="1" spans="1:8" ht="15">
      <c r="A1" s="362" t="s">
        <v>63</v>
      </c>
      <c r="B1" s="347" t="s">
        <v>12</v>
      </c>
      <c r="C1" s="42"/>
      <c r="D1" s="26"/>
      <c r="E1" s="35"/>
      <c r="F1" s="26"/>
      <c r="H1" s="63"/>
    </row>
    <row r="2" spans="1:9" ht="33">
      <c r="A2" s="21">
        <v>9</v>
      </c>
      <c r="B2" s="364" t="str">
        <f>Ref!B32</f>
        <v>Fahri ÇAMLIBEL</v>
      </c>
      <c r="C2" s="48"/>
      <c r="D2" s="26"/>
      <c r="E2" s="49"/>
      <c r="F2" s="43"/>
      <c r="G2" s="354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E4" s="350"/>
      <c r="F4" s="351"/>
      <c r="G4" s="352" t="s">
        <v>54</v>
      </c>
      <c r="H4" s="352" t="s">
        <v>55</v>
      </c>
      <c r="I4" s="352" t="s">
        <v>56</v>
      </c>
    </row>
    <row r="5" spans="1:9" s="2" customFormat="1" ht="12.75">
      <c r="A5" s="346" t="s">
        <v>1</v>
      </c>
      <c r="B5" s="347" t="s">
        <v>2</v>
      </c>
      <c r="C5" s="348" t="s">
        <v>3</v>
      </c>
      <c r="D5" s="53"/>
      <c r="E5" s="353" t="s">
        <v>1</v>
      </c>
      <c r="F5" s="352" t="s">
        <v>2</v>
      </c>
      <c r="G5" s="352" t="s">
        <v>7</v>
      </c>
      <c r="H5" s="352" t="s">
        <v>7</v>
      </c>
      <c r="I5" s="352" t="s">
        <v>7</v>
      </c>
    </row>
    <row r="6" spans="1:9" ht="12.75">
      <c r="A6" s="452">
        <v>39287</v>
      </c>
      <c r="B6" s="468" t="s">
        <v>358</v>
      </c>
      <c r="C6" s="409">
        <v>140</v>
      </c>
      <c r="D6" s="52"/>
      <c r="E6" s="3">
        <f>Ref!A8</f>
        <v>39239</v>
      </c>
      <c r="F6" s="3" t="str">
        <f>Ref!B8</f>
        <v>Devreden Borç</v>
      </c>
      <c r="G6" s="525">
        <v>145</v>
      </c>
      <c r="H6" s="217"/>
      <c r="I6" s="356">
        <f>SUM(G6:H6)</f>
        <v>145</v>
      </c>
    </row>
    <row r="7" spans="1:9" ht="12.75">
      <c r="A7" s="467">
        <v>39331</v>
      </c>
      <c r="B7" s="468" t="s">
        <v>397</v>
      </c>
      <c r="C7" s="409">
        <v>140</v>
      </c>
      <c r="D7" s="52"/>
      <c r="E7" s="350">
        <f>Ref!A9</f>
        <v>39264</v>
      </c>
      <c r="F7" s="350" t="str">
        <f>Ref!B9</f>
        <v>Temmuz-2007 Ödentisi</v>
      </c>
      <c r="G7" s="236">
        <f>IF(Ref!$B$1&gt;=Ref!$A9,Ref!E9,0)</f>
        <v>140</v>
      </c>
      <c r="H7" s="236">
        <f>IF(Ref!$B$1&gt;=Ref!$A9,Ref!F9,0)</f>
        <v>0</v>
      </c>
      <c r="I7" s="356">
        <f>SUM(G7:H7)</f>
        <v>140</v>
      </c>
    </row>
    <row r="8" spans="1:9" ht="12.75">
      <c r="A8" s="467">
        <v>39365</v>
      </c>
      <c r="B8" s="468" t="s">
        <v>269</v>
      </c>
      <c r="C8" s="409">
        <v>140</v>
      </c>
      <c r="D8" s="52"/>
      <c r="E8" s="350">
        <f>Ref!A10</f>
        <v>39295</v>
      </c>
      <c r="F8" s="350" t="str">
        <f>Ref!B10</f>
        <v>Ağustos-2007 Ödentisi</v>
      </c>
      <c r="G8" s="236">
        <f>IF(Ref!$B$1&gt;=Ref!$A10,Ref!E10,0)</f>
        <v>140</v>
      </c>
      <c r="H8" s="236">
        <f>IF(Ref!$B$1&gt;=Ref!$A10,Ref!F10,0)</f>
        <v>0</v>
      </c>
      <c r="I8" s="356">
        <f aca="true" t="shared" si="0" ref="I8:I19">SUM(G8:H8)</f>
        <v>140</v>
      </c>
    </row>
    <row r="9" spans="1:9" ht="12.75">
      <c r="A9" s="467">
        <v>39413</v>
      </c>
      <c r="B9" s="468" t="s">
        <v>269</v>
      </c>
      <c r="C9" s="469">
        <v>140</v>
      </c>
      <c r="D9" s="52"/>
      <c r="E9" s="350">
        <f>Ref!A11</f>
        <v>39326</v>
      </c>
      <c r="F9" s="350" t="str">
        <f>Ref!B11</f>
        <v>Eylül-2007 Ödentisi</v>
      </c>
      <c r="G9" s="236">
        <f>IF(Ref!$B$1&gt;=Ref!$A11,Ref!E11,0)</f>
        <v>140</v>
      </c>
      <c r="H9" s="236">
        <f>IF(Ref!$B$1&gt;=Ref!$A11,Ref!F11,0)</f>
        <v>0</v>
      </c>
      <c r="I9" s="356">
        <f t="shared" si="0"/>
        <v>140</v>
      </c>
    </row>
    <row r="10" spans="1:9" ht="12.75">
      <c r="A10" s="467">
        <v>39426</v>
      </c>
      <c r="B10" s="468" t="s">
        <v>269</v>
      </c>
      <c r="C10" s="469">
        <v>140</v>
      </c>
      <c r="D10" s="52"/>
      <c r="E10" s="350">
        <f>Ref!A12</f>
        <v>39356</v>
      </c>
      <c r="F10" s="350" t="str">
        <f>Ref!B12</f>
        <v>Ekim-2007 Ödentisi</v>
      </c>
      <c r="G10" s="236">
        <f>IF(Ref!$B$1&gt;=Ref!$A12,Ref!E12,0)</f>
        <v>140</v>
      </c>
      <c r="H10" s="236">
        <f>IF(Ref!$B$1&gt;=Ref!$A12,Ref!F12,0)</f>
        <v>0</v>
      </c>
      <c r="I10" s="356">
        <f t="shared" si="0"/>
        <v>140</v>
      </c>
    </row>
    <row r="11" spans="1:9" ht="12.75">
      <c r="A11" s="467">
        <v>39464</v>
      </c>
      <c r="B11" s="468" t="s">
        <v>269</v>
      </c>
      <c r="C11" s="469">
        <v>280</v>
      </c>
      <c r="D11" s="52"/>
      <c r="E11" s="350">
        <f>Ref!A13</f>
        <v>39387</v>
      </c>
      <c r="F11" s="350" t="str">
        <f>Ref!B13</f>
        <v>Kasım-2007 Ödentisi</v>
      </c>
      <c r="G11" s="236">
        <f>IF(Ref!$B$1&gt;=Ref!$A13,Ref!E13,0)</f>
        <v>140</v>
      </c>
      <c r="H11" s="236">
        <f>IF(Ref!$B$1&gt;=Ref!$A13,Ref!F13,0)</f>
        <v>0</v>
      </c>
      <c r="I11" s="356">
        <f t="shared" si="0"/>
        <v>140</v>
      </c>
    </row>
    <row r="12" spans="1:9" ht="12.75">
      <c r="A12" s="467">
        <v>39548</v>
      </c>
      <c r="B12" s="468" t="s">
        <v>269</v>
      </c>
      <c r="C12" s="469">
        <v>140</v>
      </c>
      <c r="D12" s="52"/>
      <c r="E12" s="350">
        <f>Ref!A14</f>
        <v>39417</v>
      </c>
      <c r="F12" s="350" t="str">
        <f>Ref!B14</f>
        <v>Aralık-2007 Ödentisi</v>
      </c>
      <c r="G12" s="236">
        <f>IF(Ref!$B$1&gt;=Ref!$A14,Ref!E14,0)</f>
        <v>140</v>
      </c>
      <c r="H12" s="236">
        <f>IF(Ref!$B$1&gt;=Ref!$A14,Ref!F14,0)</f>
        <v>0</v>
      </c>
      <c r="I12" s="356">
        <f t="shared" si="0"/>
        <v>140</v>
      </c>
    </row>
    <row r="13" spans="1:9" ht="12.75">
      <c r="A13" s="467"/>
      <c r="B13" s="468"/>
      <c r="C13" s="469"/>
      <c r="D13" s="52"/>
      <c r="E13" s="350">
        <f>Ref!A15</f>
        <v>39448</v>
      </c>
      <c r="F13" s="350" t="str">
        <f>Ref!B15</f>
        <v>Ocak-2008 Ödentisi</v>
      </c>
      <c r="G13" s="236">
        <f>IF(Ref!$B$1&gt;=Ref!$A15,Ref!E15,0)</f>
        <v>140</v>
      </c>
      <c r="H13" s="236">
        <f>IF(Ref!$B$1&gt;=Ref!$A15,Ref!F15,0)</f>
        <v>0</v>
      </c>
      <c r="I13" s="356">
        <f t="shared" si="0"/>
        <v>140</v>
      </c>
    </row>
    <row r="14" spans="1:9" ht="12.75">
      <c r="A14" s="467"/>
      <c r="B14" s="468"/>
      <c r="C14" s="469"/>
      <c r="D14" s="52"/>
      <c r="E14" s="350">
        <f>Ref!A16</f>
        <v>39479</v>
      </c>
      <c r="F14" s="350" t="str">
        <f>Ref!B16</f>
        <v>Şubat-2008 Ödentisi</v>
      </c>
      <c r="G14" s="236">
        <f>IF(Ref!$B$1&gt;=Ref!$A16,Ref!E16,0)</f>
        <v>140</v>
      </c>
      <c r="H14" s="236">
        <f>IF(Ref!$B$1&gt;=Ref!$A16,Ref!F16,0)</f>
        <v>0</v>
      </c>
      <c r="I14" s="356">
        <f t="shared" si="0"/>
        <v>140</v>
      </c>
    </row>
    <row r="15" spans="1:9" ht="12.75">
      <c r="A15" s="467"/>
      <c r="B15" s="468"/>
      <c r="C15" s="469"/>
      <c r="D15" s="52"/>
      <c r="E15" s="350">
        <f>Ref!A17</f>
        <v>39508</v>
      </c>
      <c r="F15" s="350" t="str">
        <f>Ref!B17</f>
        <v>Mart-2008 Ödentisi</v>
      </c>
      <c r="G15" s="236">
        <f>IF(Ref!$B$1&gt;=Ref!$A17,Ref!E17,0)</f>
        <v>140</v>
      </c>
      <c r="H15" s="236">
        <f>IF(Ref!$B$1&gt;=Ref!$A17,Ref!F17,0)</f>
        <v>0</v>
      </c>
      <c r="I15" s="356">
        <f t="shared" si="0"/>
        <v>140</v>
      </c>
    </row>
    <row r="16" spans="1:9" ht="12.75">
      <c r="A16" s="467"/>
      <c r="B16" s="468"/>
      <c r="C16" s="469"/>
      <c r="D16" s="52"/>
      <c r="E16" s="350">
        <f>Ref!A18</f>
        <v>39539</v>
      </c>
      <c r="F16" s="350" t="str">
        <f>Ref!B18</f>
        <v>Nisan-2008 Ödentisi</v>
      </c>
      <c r="G16" s="236">
        <f>IF(Ref!$B$1&gt;=Ref!$A18,Ref!E18,0)</f>
        <v>140</v>
      </c>
      <c r="H16" s="236">
        <f>IF(Ref!$B$1&gt;=Ref!$A18,Ref!F18,0)</f>
        <v>0</v>
      </c>
      <c r="I16" s="356">
        <f t="shared" si="0"/>
        <v>140</v>
      </c>
    </row>
    <row r="17" spans="1:9" ht="12.75">
      <c r="A17" s="467"/>
      <c r="B17" s="468"/>
      <c r="C17" s="469"/>
      <c r="D17" s="52"/>
      <c r="E17" s="350">
        <f>Ref!A19</f>
        <v>39569</v>
      </c>
      <c r="F17" s="350" t="str">
        <f>Ref!B19</f>
        <v>Mayıs-2008 Ödentisi</v>
      </c>
      <c r="G17" s="236">
        <f>IF(Ref!$B$1&gt;=Ref!$A19,Ref!E19,0)</f>
        <v>140</v>
      </c>
      <c r="H17" s="236">
        <v>76.18</v>
      </c>
      <c r="I17" s="356">
        <f t="shared" si="0"/>
        <v>216.18</v>
      </c>
    </row>
    <row r="18" spans="1:9" ht="12.75">
      <c r="A18" s="467"/>
      <c r="B18" s="468"/>
      <c r="C18" s="469"/>
      <c r="D18" s="52"/>
      <c r="E18" s="350">
        <f>Ref!A20</f>
        <v>39600</v>
      </c>
      <c r="F18" s="350" t="str">
        <f>Ref!B20</f>
        <v>Haziran-2008 Ödentisi</v>
      </c>
      <c r="G18" s="236">
        <f>IF(Ref!$B$1&gt;=Ref!$A20,Ref!E20,0)</f>
        <v>0</v>
      </c>
      <c r="H18" s="236">
        <f>IF(Ref!$B$1&gt;=Ref!$A20,Ref!F20,0)</f>
        <v>0</v>
      </c>
      <c r="I18" s="356">
        <f t="shared" si="0"/>
        <v>0</v>
      </c>
    </row>
    <row r="19" spans="1:9" ht="12.75">
      <c r="A19" s="467"/>
      <c r="B19" s="468"/>
      <c r="C19" s="469"/>
      <c r="D19" s="52"/>
      <c r="E19" s="350">
        <f>Ref!A21</f>
        <v>39630</v>
      </c>
      <c r="F19" s="350" t="str">
        <f>Ref!B21</f>
        <v>Temmuz-2008 Ödentisi</v>
      </c>
      <c r="G19" s="236">
        <f>IF(Ref!$B$1&gt;=Ref!$A21,Ref!E21,0)</f>
        <v>0</v>
      </c>
      <c r="H19" s="236">
        <f>IF(Ref!$B$1&gt;=Ref!$A21,Ref!F21,0)</f>
        <v>0</v>
      </c>
      <c r="I19" s="356">
        <f t="shared" si="0"/>
        <v>0</v>
      </c>
    </row>
    <row r="20" spans="1:9" ht="13.5" thickBot="1">
      <c r="A20" s="467"/>
      <c r="B20" s="468"/>
      <c r="C20" s="469"/>
      <c r="D20" s="52"/>
      <c r="E20" s="350"/>
      <c r="F20" s="350"/>
      <c r="G20" s="236"/>
      <c r="H20" s="236"/>
      <c r="I20" s="356"/>
    </row>
    <row r="21" spans="1:9" ht="13.5" thickTop="1">
      <c r="A21" s="349"/>
      <c r="B21" s="358" t="s">
        <v>11</v>
      </c>
      <c r="C21" s="359">
        <f>SUM(C6:C20)</f>
        <v>1120</v>
      </c>
      <c r="D21" s="51"/>
      <c r="E21" s="350"/>
      <c r="F21" s="355" t="s">
        <v>62</v>
      </c>
      <c r="G21" s="363">
        <f>SUM(G6:G19)</f>
        <v>1685</v>
      </c>
      <c r="H21" s="363">
        <f>SUM(H6:H19)</f>
        <v>76.18</v>
      </c>
      <c r="I21" s="357">
        <f>SUM(I6:I20)</f>
        <v>1761.18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0" t="s">
        <v>168</v>
      </c>
      <c r="G23" s="38"/>
      <c r="H23" s="38"/>
      <c r="I23" s="39"/>
    </row>
    <row r="24" spans="1:9" ht="12.75">
      <c r="A24" s="350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IF(Ref!$B$1&lt;Ref!$A10,Ref!F10,"-")</f>
        <v>-</v>
      </c>
      <c r="C26" s="54"/>
      <c r="D26" s="29"/>
      <c r="E26" s="28"/>
      <c r="F26" s="96" t="str">
        <f>IF((C21-I21)&gt;0,"ALACAK BAKİYENİZ :","BORÇ BAKİYENİZ :")</f>
        <v>BORÇ BAKİYENİZ :</v>
      </c>
      <c r="G26" s="40"/>
      <c r="H26" s="361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IF(Ref!$B$1&lt;Ref!$A11,Ref!F11,"-")</f>
        <v>-</v>
      </c>
      <c r="C27" s="54"/>
      <c r="D27" s="29"/>
      <c r="E27" s="28"/>
      <c r="F27" s="247">
        <f>C21-I21</f>
        <v>-641.1800000000001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IF(Ref!$B$1&lt;Ref!$A12,Ref!F12,"-")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IF(Ref!$B$1&lt;Ref!$A13,Ref!F13,"-")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IF(Ref!$B$1&lt;Ref!$A14,Ref!F14,"-")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IF(Ref!$B$1&lt;Ref!$A15,Ref!F15,"-")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IF(Ref!$B$1&lt;Ref!$A16,Ref!F16,"-")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IF(Ref!$B$1&lt;Ref!$A17,Ref!F17,"-")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IF(Ref!$B$1&lt;Ref!$A18,Ref!F18,"-")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IF(Ref!$B$1&lt;Ref!$A19,Ref!F19,"-")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IF(Ref!$B$1&lt;Ref!$A20,Ref!F20,"-")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IF(Ref!$B$1&lt;Ref!$A21,Ref!F21,"-")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" r:id="rId18" display="=@IF(G1&gt;H1,&quot;*&quot;,&quot;-&quot;)"/>
    <hyperlink ref="B28" r:id="rId19" display="=@IF(G1&gt;H1,&quot;*&quot;,&quot;-&quot;)"/>
    <hyperlink ref="B29" r:id="rId20" display="=@IF(G1&gt;H1,&quot;*&quot;,&quot;-&quot;)"/>
    <hyperlink ref="B30" r:id="rId21" display="=@IF(G1&gt;H1,&quot;*&quot;,&quot;-&quot;)"/>
    <hyperlink ref="B31" r:id="rId22" display="=@IF(G1&gt;H1,&quot;*&quot;,&quot;-&quot;)"/>
    <hyperlink ref="B32" r:id="rId23" display="=@IF(G1&gt;H1,&quot;*&quot;,&quot;-&quot;)"/>
    <hyperlink ref="B33" r:id="rId24" display="=@IF(G1&gt;H1,&quot;*&quot;,&quot;-&quot;)"/>
    <hyperlink ref="B34" r:id="rId25" display="=@IF(G1&gt;H1,&quot;*&quot;,&quot;-&quot;)"/>
    <hyperlink ref="B35" r:id="rId26" display="=@IF(G1&gt;H1,&quot;*&quot;,&quot;-&quot;)"/>
    <hyperlink ref="B36" r:id="rId27" display="=@IF(G1&gt;H1,&quot;*&quot;,&quot;-&quot;)"/>
    <hyperlink ref="B37" r:id="rId28" display="=@IF(G1&gt;H1,&quot;*&quot;,&quot;-&quot;)"/>
    <hyperlink ref="H2" r:id="rId29" display="=@today()"/>
    <hyperlink ref="G8" r:id="rId30" display="=@IF(G1&gt;H1,&quot;*&quot;,&quot;-&quot;)"/>
    <hyperlink ref="G9" r:id="rId31" display="=@IF(G1&gt;H1,&quot;*&quot;,&quot;-&quot;)"/>
    <hyperlink ref="G10" r:id="rId32" display="=@IF(G1&gt;H1,&quot;*&quot;,&quot;-&quot;)"/>
    <hyperlink ref="G11" r:id="rId33" display="=@IF(G1&gt;H1,&quot;*&quot;,&quot;-&quot;)"/>
    <hyperlink ref="G12" r:id="rId34" display="=@IF(G1&gt;H1,&quot;*&quot;,&quot;-&quot;)"/>
    <hyperlink ref="G13" r:id="rId35" display="=@IF(G1&gt;H1,&quot;*&quot;,&quot;-&quot;)"/>
    <hyperlink ref="G14" r:id="rId36" display="=@IF(G1&gt;H1,&quot;*&quot;,&quot;-&quot;)"/>
    <hyperlink ref="G15" r:id="rId37" display="=@IF(G1&gt;H1,&quot;*&quot;,&quot;-&quot;)"/>
    <hyperlink ref="G16" r:id="rId38" display="=@IF(G1&gt;H1,&quot;*&quot;,&quot;-&quot;)"/>
    <hyperlink ref="G17" r:id="rId39" display="=@IF(G1&gt;H1,&quot;*&quot;,&quot;-&quot;)"/>
    <hyperlink ref="G18" r:id="rId40" display="=@IF(G1&gt;H1,&quot;*&quot;,&quot;-&quot;)"/>
    <hyperlink ref="G19" r:id="rId41" display="=@IF(G1&gt;H1,&quot;*&quot;,&quot;-&quot;)"/>
    <hyperlink ref="H8" r:id="rId42" display="=@IF(G1&gt;H1,&quot;*&quot;,&quot;-&quot;)"/>
    <hyperlink ref="H9" r:id="rId43" display="=@IF(G1&gt;H1,&quot;*&quot;,&quot;-&quot;)"/>
    <hyperlink ref="H10" r:id="rId44" display="=@IF(G1&gt;H1,&quot;*&quot;,&quot;-&quot;)"/>
    <hyperlink ref="H11" r:id="rId45" display="=@IF(G1&gt;H1,&quot;*&quot;,&quot;-&quot;)"/>
    <hyperlink ref="H12" r:id="rId46" display="=@IF(G1&gt;H1,&quot;*&quot;,&quot;-&quot;)"/>
    <hyperlink ref="H13" r:id="rId47" display="=@IF(G1&gt;H1,&quot;*&quot;,&quot;-&quot;)"/>
    <hyperlink ref="H14" r:id="rId48" display="=@IF(G1&gt;H1,&quot;*&quot;,&quot;-&quot;)"/>
    <hyperlink ref="H15" r:id="rId49" display="=@IF(G1&gt;H1,&quot;*&quot;,&quot;-&quot;)"/>
    <hyperlink ref="H16" r:id="rId50" display="=@IF(G1&gt;H1,&quot;*&quot;,&quot;-&quot;)"/>
    <hyperlink ref="H17" r:id="rId51" display="=@IF(G1&gt;H1,&quot;*&quot;,&quot;-&quot;)"/>
    <hyperlink ref="H18" r:id="rId52" display="=@IF(G1&gt;H1,&quot;*&quot;,&quot;-&quot;)"/>
    <hyperlink ref="H19" r:id="rId5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7" r:id="rId55"/>
  <drawing r:id="rId5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7">
    <tabColor indexed="41"/>
    <pageSetUpPr fitToPage="1"/>
  </sheetPr>
  <dimension ref="A1:I95"/>
  <sheetViews>
    <sheetView zoomScale="85" zoomScaleNormal="85" workbookViewId="0" topLeftCell="A1">
      <selection activeCell="C7" sqref="C7"/>
    </sheetView>
  </sheetViews>
  <sheetFormatPr defaultColWidth="9.140625" defaultRowHeight="12.75"/>
  <cols>
    <col min="1" max="1" width="11.57421875" style="3" customWidth="1"/>
    <col min="2" max="2" width="23.00390625" style="0" customWidth="1"/>
    <col min="3" max="3" width="17.57421875" style="4" customWidth="1"/>
    <col min="4" max="4" width="5.8515625" style="0" customWidth="1"/>
    <col min="5" max="5" width="11.57421875" style="3" customWidth="1"/>
    <col min="6" max="6" width="22.8515625" style="0" bestFit="1" customWidth="1"/>
    <col min="7" max="7" width="17.7109375" style="0" bestFit="1" customWidth="1"/>
    <col min="8" max="8" width="11.57421875" style="0" bestFit="1" customWidth="1"/>
    <col min="9" max="9" width="18.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10</v>
      </c>
      <c r="B2" s="69" t="str">
        <f>Ref!B33</f>
        <v>Melih ÜNAL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39311</v>
      </c>
      <c r="B6" s="407" t="s">
        <v>380</v>
      </c>
      <c r="C6" s="409">
        <v>860</v>
      </c>
      <c r="D6" s="52"/>
      <c r="E6" s="3">
        <f>Ref!A8</f>
        <v>39239</v>
      </c>
      <c r="F6" s="3" t="str">
        <f>Ref!B8</f>
        <v>Devreden Borç</v>
      </c>
      <c r="G6" s="242">
        <v>560</v>
      </c>
      <c r="H6" s="217"/>
      <c r="I6" s="234">
        <f>SUM(G6:H6)</f>
        <v>560</v>
      </c>
    </row>
    <row r="7" spans="1:9" ht="12.75">
      <c r="A7" s="452">
        <v>39504</v>
      </c>
      <c r="B7" s="407" t="s">
        <v>380</v>
      </c>
      <c r="C7" s="465">
        <v>900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IF(Ref!$B$1&gt;=Ref!$A9,Ref!C9,0)</f>
        <v>150</v>
      </c>
      <c r="H7" s="236">
        <f>IF(Ref!$B$1&gt;=Ref!$A9,Ref!D9,0)</f>
        <v>0</v>
      </c>
      <c r="I7" s="234">
        <f>SUM(G7:H7)</f>
        <v>150</v>
      </c>
    </row>
    <row r="8" spans="1:9" ht="12.75">
      <c r="A8" s="452"/>
      <c r="B8" s="407"/>
      <c r="C8" s="409"/>
      <c r="D8" s="52"/>
      <c r="E8" s="3">
        <f>Ref!A10</f>
        <v>39295</v>
      </c>
      <c r="F8" s="3" t="str">
        <f>Ref!B10</f>
        <v>Ağustos-2007 Ödentisi</v>
      </c>
      <c r="G8" s="236">
        <f>IF(Ref!$B$1&gt;=Ref!$A10,Ref!C10,0)</f>
        <v>150</v>
      </c>
      <c r="H8" s="236">
        <f>IF(Ref!$B$1&gt;=Ref!$A10,Ref!D10,0)</f>
        <v>0</v>
      </c>
      <c r="I8" s="234">
        <f aca="true" t="shared" si="0" ref="I8:I19">SUM(G8:H8)</f>
        <v>150</v>
      </c>
    </row>
    <row r="9" spans="1:9" ht="12.75">
      <c r="A9" s="452"/>
      <c r="B9" s="407"/>
      <c r="C9" s="409"/>
      <c r="D9" s="52"/>
      <c r="E9" s="3">
        <f>Ref!A11</f>
        <v>39326</v>
      </c>
      <c r="F9" s="3" t="str">
        <f>Ref!B11</f>
        <v>Eylül-2007 Ödentisi</v>
      </c>
      <c r="G9" s="236">
        <f>IF(Ref!$B$1&gt;=Ref!$A11,Ref!C11,0)</f>
        <v>150</v>
      </c>
      <c r="H9" s="236">
        <f>IF(Ref!$B$1&gt;=Ref!$A11,Ref!D11,0)</f>
        <v>0</v>
      </c>
      <c r="I9" s="234">
        <f t="shared" si="0"/>
        <v>150</v>
      </c>
    </row>
    <row r="10" spans="1:9" ht="12.75">
      <c r="A10" s="452"/>
      <c r="B10" s="407"/>
      <c r="C10" s="409"/>
      <c r="D10" s="52"/>
      <c r="E10" s="3">
        <f>Ref!A12</f>
        <v>39356</v>
      </c>
      <c r="F10" s="3" t="str">
        <f>Ref!B12</f>
        <v>Ekim-2007 Ödentisi</v>
      </c>
      <c r="G10" s="236">
        <f>IF(Ref!$B$1&gt;=Ref!$A12,Ref!C12,0)</f>
        <v>150</v>
      </c>
      <c r="H10" s="236">
        <f>IF(Ref!$B$1&gt;=Ref!$A12,Ref!D12,0)</f>
        <v>0</v>
      </c>
      <c r="I10" s="234">
        <f t="shared" si="0"/>
        <v>150</v>
      </c>
    </row>
    <row r="11" spans="1:9" ht="12.75">
      <c r="A11" s="452"/>
      <c r="B11" s="407"/>
      <c r="C11" s="409"/>
      <c r="D11" s="52"/>
      <c r="E11" s="3">
        <f>Ref!A13</f>
        <v>39387</v>
      </c>
      <c r="F11" s="3" t="str">
        <f>Ref!B13</f>
        <v>Kasım-2007 Ödentisi</v>
      </c>
      <c r="G11" s="236">
        <f>IF(Ref!$B$1&gt;=Ref!$A13,Ref!C13,0)</f>
        <v>150</v>
      </c>
      <c r="H11" s="236">
        <f>IF(Ref!$B$1&gt;=Ref!$A13,Ref!D13,0)</f>
        <v>0</v>
      </c>
      <c r="I11" s="234">
        <f t="shared" si="0"/>
        <v>150</v>
      </c>
    </row>
    <row r="12" spans="1:9" ht="12.75">
      <c r="A12" s="452"/>
      <c r="B12" s="407"/>
      <c r="C12" s="409"/>
      <c r="D12" s="52"/>
      <c r="E12" s="3">
        <f>Ref!A14</f>
        <v>39417</v>
      </c>
      <c r="F12" s="3" t="str">
        <f>Ref!B14</f>
        <v>Aralık-2007 Ödentisi</v>
      </c>
      <c r="G12" s="236">
        <f>IF(Ref!$B$1&gt;=Ref!$A14,Ref!C14,0)</f>
        <v>150</v>
      </c>
      <c r="H12" s="236">
        <f>IF(Ref!$B$1&gt;=Ref!$A14,Ref!D14,0)</f>
        <v>0</v>
      </c>
      <c r="I12" s="234">
        <f t="shared" si="0"/>
        <v>150</v>
      </c>
    </row>
    <row r="13" spans="1:9" ht="12.75">
      <c r="A13" s="452"/>
      <c r="B13" s="407"/>
      <c r="C13" s="409"/>
      <c r="D13" s="52"/>
      <c r="E13" s="3">
        <f>Ref!A15</f>
        <v>39448</v>
      </c>
      <c r="F13" s="3" t="str">
        <f>Ref!B15</f>
        <v>Ocak-2008 Ödentisi</v>
      </c>
      <c r="G13" s="236">
        <f>IF(Ref!$B$1&gt;=Ref!$A15,Ref!C15,0)</f>
        <v>150</v>
      </c>
      <c r="H13" s="236">
        <f>IF(Ref!$B$1&gt;=Ref!$A15,Ref!D15,0)</f>
        <v>0</v>
      </c>
      <c r="I13" s="234">
        <f t="shared" si="0"/>
        <v>150</v>
      </c>
    </row>
    <row r="14" spans="1:9" ht="12.75">
      <c r="A14" s="452"/>
      <c r="B14" s="407"/>
      <c r="C14" s="409"/>
      <c r="D14" s="52"/>
      <c r="E14" s="3">
        <f>Ref!A16</f>
        <v>39479</v>
      </c>
      <c r="F14" s="3" t="str">
        <f>Ref!B16</f>
        <v>Şubat-2008 Ödentisi</v>
      </c>
      <c r="G14" s="236">
        <f>IF(Ref!$B$1&gt;=Ref!$A16,Ref!C16,0)</f>
        <v>150</v>
      </c>
      <c r="H14" s="236">
        <v>66.81</v>
      </c>
      <c r="I14" s="234">
        <f t="shared" si="0"/>
        <v>216.81</v>
      </c>
    </row>
    <row r="15" spans="1:9" ht="12.75">
      <c r="A15" s="452"/>
      <c r="B15" s="407"/>
      <c r="C15" s="409"/>
      <c r="D15" s="52"/>
      <c r="E15" s="3">
        <f>Ref!A17</f>
        <v>39508</v>
      </c>
      <c r="F15" s="3" t="str">
        <f>Ref!B17</f>
        <v>Mart-2008 Ödentisi</v>
      </c>
      <c r="G15" s="236">
        <f>IF(Ref!$B$1&gt;=Ref!$A17,Ref!C17,0)</f>
        <v>150</v>
      </c>
      <c r="H15" s="236">
        <f>IF(Ref!$B$1&gt;=Ref!$A17,Ref!D17,0)</f>
        <v>0</v>
      </c>
      <c r="I15" s="234">
        <f t="shared" si="0"/>
        <v>150</v>
      </c>
    </row>
    <row r="16" spans="1:9" ht="12.75">
      <c r="A16" s="452"/>
      <c r="B16" s="407"/>
      <c r="C16" s="409"/>
      <c r="D16" s="52"/>
      <c r="E16" s="3">
        <f>Ref!A18</f>
        <v>39539</v>
      </c>
      <c r="F16" s="3" t="str">
        <f>Ref!B18</f>
        <v>Nisan-2008 Ödentisi</v>
      </c>
      <c r="G16" s="236">
        <f>IF(Ref!$B$1&gt;=Ref!$A18,Ref!C18,0)</f>
        <v>150</v>
      </c>
      <c r="H16" s="236">
        <f>IF(Ref!$B$1&gt;=Ref!$A18,Ref!D18,0)</f>
        <v>0</v>
      </c>
      <c r="I16" s="234">
        <f t="shared" si="0"/>
        <v>150</v>
      </c>
    </row>
    <row r="17" spans="1:9" ht="12.75">
      <c r="A17" s="452"/>
      <c r="B17" s="407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IF(Ref!$B$1&gt;=Ref!$A19,Ref!C19,0)</f>
        <v>150</v>
      </c>
      <c r="H17" s="236">
        <f>IF(Ref!$B$1&gt;=Ref!$A19,Ref!D19,0)</f>
        <v>0</v>
      </c>
      <c r="I17" s="234">
        <f t="shared" si="0"/>
        <v>150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IF(Ref!$B$1&gt;=Ref!$A20,Ref!C20,0)</f>
        <v>0</v>
      </c>
      <c r="H18" s="236">
        <f>IF(Ref!$B$1&gt;=Ref!$A20,Ref!D20,0)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IF(Ref!$B$1&gt;=Ref!$A21,Ref!C21,0)</f>
        <v>0</v>
      </c>
      <c r="H19" s="236">
        <f>IF(Ref!$B$1&gt;=Ref!$A21,Ref!D21,0)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1:9" ht="14.25" thickBot="1" thickTop="1">
      <c r="A21" s="83"/>
      <c r="B21" s="84" t="s">
        <v>11</v>
      </c>
      <c r="C21" s="241">
        <f>SUM(C6:C20)</f>
        <v>1760</v>
      </c>
      <c r="D21" s="51"/>
      <c r="E21" s="83"/>
      <c r="F21" s="84" t="s">
        <v>62</v>
      </c>
      <c r="G21" s="244">
        <f>SUM(G6:G19)</f>
        <v>2210</v>
      </c>
      <c r="H21" s="244">
        <f>SUM(H6:H19)</f>
        <v>66.81</v>
      </c>
      <c r="I21" s="245">
        <f>SUM(I6:I20)</f>
        <v>2276.81</v>
      </c>
    </row>
    <row r="22" spans="1:9" ht="12.75">
      <c r="A22" s="35"/>
      <c r="B22" s="36"/>
      <c r="C22" s="37"/>
      <c r="D22" s="26"/>
      <c r="E22" s="35"/>
      <c r="F22" s="36"/>
      <c r="G22" s="38"/>
      <c r="H22" s="38"/>
      <c r="I22" s="39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2.75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IF(Ref!$B$1&lt;Ref!$A10,Ref!D10,"-")</f>
        <v>-</v>
      </c>
      <c r="C26" s="54"/>
      <c r="D26" s="29"/>
      <c r="E26" s="28"/>
      <c r="F26" s="64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5.75">
      <c r="A27" s="20" t="str">
        <f>IF(Ref!$B$1&lt;Ref!$A11,Ref!A11,"-")</f>
        <v>-</v>
      </c>
      <c r="B27" s="246" t="str">
        <f>IF(Ref!$B$1&lt;Ref!$A11,Ref!D11,"-")</f>
        <v>-</v>
      </c>
      <c r="C27" s="54"/>
      <c r="D27" s="29"/>
      <c r="E27" s="28"/>
      <c r="F27" s="239">
        <f>C21-I21</f>
        <v>-516.81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IF(Ref!$B$1&lt;Ref!$A12,Ref!D12,"-")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IF(Ref!$B$1&lt;Ref!$A13,Ref!D13,"-")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IF(Ref!$B$1&lt;Ref!$A14,Ref!D14,"-")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IF(Ref!$B$1&lt;Ref!$A15,Ref!D15,"-")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IF(Ref!$B$1&lt;Ref!$A16,Ref!D16,"-")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IF(Ref!$B$1&lt;Ref!$A17,Ref!D17,"-")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IF(Ref!$B$1&lt;Ref!$A18,Ref!D18,"-")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IF(Ref!$B$1&lt;Ref!$A19,Ref!D19,"-")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2.75">
      <c r="A36" s="20">
        <f>IF(Ref!$B$1&lt;Ref!$A20,Ref!A20,"-")</f>
        <v>39600</v>
      </c>
      <c r="B36" s="246">
        <f>IF(Ref!$B$1&lt;Ref!$A20,Ref!D20,"-")</f>
        <v>0</v>
      </c>
      <c r="C36" s="54"/>
      <c r="D36" s="80" t="s">
        <v>98</v>
      </c>
      <c r="E36" s="49"/>
      <c r="F36" s="81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IF(Ref!$B$1&lt;Ref!$A21,Ref!D21,"-")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1" r:id="rId34" display="=@IF(G1&gt;H1,&quot;*&quot;,&quot;-&quot;)"/>
    <hyperlink ref="H12" r:id="rId35" display="=@IF(G1&gt;H1,&quot;*&quot;,&quot;-&quot;)"/>
    <hyperlink ref="H13" r:id="rId36" display="=@IF(G1&gt;H1,&quot;*&quot;,&quot;-&quot;)"/>
    <hyperlink ref="H14" r:id="rId37" display="=@IF(G1&gt;H1,&quot;*&quot;,&quot;-&quot;)"/>
    <hyperlink ref="H16" r:id="rId38" display="=@IF(G1&gt;H1,&quot;*&quot;,&quot;-&quot;)"/>
    <hyperlink ref="H17" r:id="rId39" display="=@IF(G1&gt;H1,&quot;*&quot;,&quot;-&quot;)"/>
    <hyperlink ref="H18" r:id="rId40" display="=@IF(G1&gt;H1,&quot;*&quot;,&quot;-&quot;)"/>
    <hyperlink ref="H19" r:id="rId41" display="=@IF(G1&gt;H1,&quot;*&quot;,&quot;-&quot;)"/>
    <hyperlink ref="H15" r:id="rId42" display="=@IF(G1&gt;H1,&quot;*&quot;,&quot;-&quot;)"/>
    <hyperlink ref="H10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5" r:id="rId45"/>
  <drawing r:id="rId4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8">
    <tabColor indexed="42"/>
    <pageSetUpPr fitToPage="1"/>
  </sheetPr>
  <dimension ref="A1:I95"/>
  <sheetViews>
    <sheetView zoomScale="85" zoomScaleNormal="85" workbookViewId="0" topLeftCell="A1">
      <selection activeCell="C16" sqref="C16"/>
    </sheetView>
  </sheetViews>
  <sheetFormatPr defaultColWidth="9.140625" defaultRowHeight="12.75"/>
  <cols>
    <col min="1" max="1" width="11.57421875" style="3" customWidth="1"/>
    <col min="2" max="2" width="21.7109375" style="0" customWidth="1"/>
    <col min="3" max="3" width="17.7109375" style="4" customWidth="1"/>
    <col min="4" max="4" width="5.8515625" style="0" customWidth="1"/>
    <col min="5" max="5" width="11.57421875" style="3" customWidth="1"/>
    <col min="6" max="6" width="22.140625" style="0" customWidth="1"/>
    <col min="7" max="7" width="17.140625" style="0" customWidth="1"/>
    <col min="8" max="8" width="11.57421875" style="0" bestFit="1" customWidth="1"/>
    <col min="9" max="9" width="17.421875" style="2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11</v>
      </c>
      <c r="B2" s="69" t="str">
        <f>Ref!B34</f>
        <v>Fİgen ÜNER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39287</v>
      </c>
      <c r="B6" s="407" t="s">
        <v>375</v>
      </c>
      <c r="C6" s="409">
        <v>140</v>
      </c>
      <c r="D6" s="52"/>
      <c r="E6" s="3">
        <f>Ref!A8</f>
        <v>39239</v>
      </c>
      <c r="F6" s="3" t="str">
        <f>Ref!B7</f>
        <v>Devreden Alacak</v>
      </c>
      <c r="G6" s="510">
        <v>0</v>
      </c>
      <c r="H6" s="217"/>
      <c r="I6" s="234">
        <f>SUM(G6:H6)</f>
        <v>0</v>
      </c>
    </row>
    <row r="7" spans="1:9" ht="12.75">
      <c r="A7" s="452">
        <v>39349</v>
      </c>
      <c r="B7" s="407" t="s">
        <v>407</v>
      </c>
      <c r="C7" s="409">
        <v>140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IF(Ref!$B$1&gt;=Ref!$A9,Ref!E9,0)</f>
        <v>140</v>
      </c>
      <c r="H7" s="236">
        <f>IF(Ref!$B$1&gt;=Ref!$A9,Ref!F9,0)</f>
        <v>0</v>
      </c>
      <c r="I7" s="234">
        <f>SUM(G7:H7)</f>
        <v>140</v>
      </c>
    </row>
    <row r="8" spans="1:9" ht="12.75">
      <c r="A8" s="452">
        <v>39350</v>
      </c>
      <c r="B8" s="407" t="s">
        <v>408</v>
      </c>
      <c r="C8" s="409">
        <v>100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IF(Ref!$B$1&gt;=Ref!$A10,Ref!E10,0)</f>
        <v>140</v>
      </c>
      <c r="H8" s="236">
        <f>IF(Ref!$B$1&gt;=Ref!$A10,Ref!F10,0)</f>
        <v>0</v>
      </c>
      <c r="I8" s="234">
        <f aca="true" t="shared" si="0" ref="I8:I19">SUM(G8:H8)</f>
        <v>140</v>
      </c>
    </row>
    <row r="9" spans="1:9" ht="12.75">
      <c r="A9" s="452">
        <v>39373</v>
      </c>
      <c r="B9" s="407" t="s">
        <v>437</v>
      </c>
      <c r="C9" s="409">
        <v>180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IF(Ref!$B$1&gt;=Ref!$A11,Ref!E11,0)</f>
        <v>140</v>
      </c>
      <c r="H9" s="236">
        <f>IF(Ref!$B$1&gt;=Ref!$A11,Ref!F11,0)</f>
        <v>0</v>
      </c>
      <c r="I9" s="234">
        <f t="shared" si="0"/>
        <v>140</v>
      </c>
    </row>
    <row r="10" spans="1:9" ht="12.75">
      <c r="A10" s="452">
        <v>39409</v>
      </c>
      <c r="B10" s="407" t="s">
        <v>466</v>
      </c>
      <c r="C10" s="409">
        <v>140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IF(Ref!$B$1&gt;=Ref!$A12,Ref!E12,0)</f>
        <v>140</v>
      </c>
      <c r="H10" s="236">
        <f>IF(Ref!$B$1&gt;=Ref!$A12,Ref!F12,0)</f>
        <v>0</v>
      </c>
      <c r="I10" s="234">
        <f t="shared" si="0"/>
        <v>140</v>
      </c>
    </row>
    <row r="11" spans="1:9" ht="12.75">
      <c r="A11" s="452">
        <v>39426</v>
      </c>
      <c r="B11" s="407" t="s">
        <v>485</v>
      </c>
      <c r="C11" s="409">
        <v>140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IF(Ref!$B$1&gt;=Ref!$A13,Ref!E13,0)</f>
        <v>140</v>
      </c>
      <c r="H11" s="236">
        <f>IF(Ref!$B$1&gt;=Ref!$A13,Ref!F13,0)</f>
        <v>0</v>
      </c>
      <c r="I11" s="234">
        <f t="shared" si="0"/>
        <v>140</v>
      </c>
    </row>
    <row r="12" spans="1:9" ht="12.75">
      <c r="A12" s="452">
        <v>39451</v>
      </c>
      <c r="B12" s="407" t="s">
        <v>503</v>
      </c>
      <c r="C12" s="465">
        <v>140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IF(Ref!$B$1&gt;=Ref!$A14,Ref!E14,0)</f>
        <v>140</v>
      </c>
      <c r="H12" s="236">
        <f>IF(Ref!$B$1&gt;=Ref!$A14,Ref!F14,0)</f>
        <v>0</v>
      </c>
      <c r="I12" s="234">
        <f t="shared" si="0"/>
        <v>140</v>
      </c>
    </row>
    <row r="13" spans="1:9" ht="12.75">
      <c r="A13" s="452">
        <v>39485</v>
      </c>
      <c r="B13" s="407" t="s">
        <v>525</v>
      </c>
      <c r="C13" s="465">
        <v>140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IF(Ref!$B$1&gt;=Ref!$A15,Ref!E15,0)</f>
        <v>140</v>
      </c>
      <c r="H13" s="236">
        <f>IF(Ref!$B$1&gt;=Ref!$A15,Ref!F15,0)</f>
        <v>0</v>
      </c>
      <c r="I13" s="234">
        <f t="shared" si="0"/>
        <v>140</v>
      </c>
    </row>
    <row r="14" spans="1:9" ht="12.75">
      <c r="A14" s="452">
        <v>39534</v>
      </c>
      <c r="B14" s="407" t="s">
        <v>573</v>
      </c>
      <c r="C14" s="465">
        <v>140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IF(Ref!$B$1&gt;=Ref!$A16,Ref!E16,0)</f>
        <v>140</v>
      </c>
      <c r="H14" s="236">
        <f>IF(Ref!$B$1&gt;=Ref!$A16,Ref!F16,0)</f>
        <v>0</v>
      </c>
      <c r="I14" s="234">
        <f t="shared" si="0"/>
        <v>140</v>
      </c>
    </row>
    <row r="15" spans="1:9" ht="12.75">
      <c r="A15" s="452">
        <v>39553</v>
      </c>
      <c r="B15" s="407" t="s">
        <v>586</v>
      </c>
      <c r="C15" s="465">
        <v>140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IF(Ref!$B$1&gt;=Ref!$A17,Ref!E17,0)</f>
        <v>140</v>
      </c>
      <c r="H15" s="236">
        <f>IF(Ref!$B$1&gt;=Ref!$A17,Ref!F17,0)</f>
        <v>0</v>
      </c>
      <c r="I15" s="234">
        <f t="shared" si="0"/>
        <v>140</v>
      </c>
    </row>
    <row r="16" spans="1:9" ht="12.75">
      <c r="A16" s="452">
        <v>39591</v>
      </c>
      <c r="B16" s="407" t="s">
        <v>620</v>
      </c>
      <c r="C16" s="465">
        <v>140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IF(Ref!$B$1&gt;=Ref!$A18,Ref!E18,0)</f>
        <v>140</v>
      </c>
      <c r="H16" s="236">
        <f>IF(Ref!$B$1&gt;=Ref!$A18,Ref!F18,0)</f>
        <v>0</v>
      </c>
      <c r="I16" s="234">
        <f t="shared" si="0"/>
        <v>140</v>
      </c>
    </row>
    <row r="17" spans="1:9" ht="12.75">
      <c r="A17" s="452"/>
      <c r="B17" s="407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IF(Ref!$B$1&gt;=Ref!$A19,Ref!E19,0)</f>
        <v>140</v>
      </c>
      <c r="H17" s="236">
        <f>IF(Ref!$B$1&gt;=Ref!$A19,Ref!F19,0)</f>
        <v>0</v>
      </c>
      <c r="I17" s="234">
        <f t="shared" si="0"/>
        <v>140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IF(Ref!$B$1&gt;=Ref!$A20,Ref!E20,0)</f>
        <v>0</v>
      </c>
      <c r="H18" s="236">
        <f>IF(Ref!$B$1&gt;=Ref!$A20,Ref!F20,0)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IF(Ref!$B$1&gt;=Ref!$A21,Ref!E21,0)</f>
        <v>0</v>
      </c>
      <c r="H19" s="236">
        <f>IF(Ref!$B$1&gt;=Ref!$A21,Ref!F21,0)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1540</v>
      </c>
      <c r="D21" s="51"/>
      <c r="F21" s="8" t="s">
        <v>62</v>
      </c>
      <c r="G21" s="237">
        <f>SUM(G6:G19)</f>
        <v>1540</v>
      </c>
      <c r="H21" s="237">
        <f>SUM(H6:H19)</f>
        <v>0</v>
      </c>
      <c r="I21" s="238">
        <f>SUM(I6:I20)</f>
        <v>1540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IF(Ref!$B$1&lt;Ref!$A10,Ref!F10,"-")</f>
        <v>-</v>
      </c>
      <c r="C26" s="54"/>
      <c r="D26" s="29"/>
      <c r="E26" s="28"/>
      <c r="F26" s="96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IF(Ref!$B$1&lt;Ref!$A11,Ref!F11,"-")</f>
        <v>-</v>
      </c>
      <c r="C27" s="54"/>
      <c r="D27" s="29"/>
      <c r="E27" s="28"/>
      <c r="F27" s="247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IF(Ref!$B$1&lt;Ref!$A12,Ref!F12,"-")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IF(Ref!$B$1&lt;Ref!$A13,Ref!F13,"-")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IF(Ref!$B$1&lt;Ref!$A14,Ref!F14,"-")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IF(Ref!$B$1&lt;Ref!$A15,Ref!F15,"-")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IF(Ref!$B$1&lt;Ref!$A16,Ref!F16,"-")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IF(Ref!$B$1&lt;Ref!$A17,Ref!F17,"-")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IF(Ref!$B$1&lt;Ref!$A18,Ref!F18,"-")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IF(Ref!$B$1&lt;Ref!$A19,Ref!F19,"-")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IF(Ref!$B$1&lt;Ref!$A20,Ref!F20,"-")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IF(Ref!$B$1&lt;Ref!$A21,Ref!F21,"-")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spans="2:7" ht="12.75">
      <c r="B40" s="12"/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" r:id="rId18" display="=@IF(G1&gt;H1,&quot;*&quot;,&quot;-&quot;)"/>
    <hyperlink ref="B28" r:id="rId19" display="=@IF(G1&gt;H1,&quot;*&quot;,&quot;-&quot;)"/>
    <hyperlink ref="B29" r:id="rId20" display="=@IF(G1&gt;H1,&quot;*&quot;,&quot;-&quot;)"/>
    <hyperlink ref="B30" r:id="rId21" display="=@IF(G1&gt;H1,&quot;*&quot;,&quot;-&quot;)"/>
    <hyperlink ref="B31" r:id="rId22" display="=@IF(G1&gt;H1,&quot;*&quot;,&quot;-&quot;)"/>
    <hyperlink ref="B32" r:id="rId23" display="=@IF(G1&gt;H1,&quot;*&quot;,&quot;-&quot;)"/>
    <hyperlink ref="B33" r:id="rId24" display="=@IF(G1&gt;H1,&quot;*&quot;,&quot;-&quot;)"/>
    <hyperlink ref="B34" r:id="rId25" display="=@IF(G1&gt;H1,&quot;*&quot;,&quot;-&quot;)"/>
    <hyperlink ref="B35" r:id="rId26" display="=@IF(G1&gt;H1,&quot;*&quot;,&quot;-&quot;)"/>
    <hyperlink ref="B36" r:id="rId27" display="=@IF(G1&gt;H1,&quot;*&quot;,&quot;-&quot;)"/>
    <hyperlink ref="B37" r:id="rId28" display="=@IF(G1&gt;H1,&quot;*&quot;,&quot;-&quot;)"/>
    <hyperlink ref="H2" r:id="rId29" display="=@today()"/>
    <hyperlink ref="G8" r:id="rId30" display="=@IF(G1&gt;H1,&quot;*&quot;,&quot;-&quot;)"/>
    <hyperlink ref="G9" r:id="rId31" display="=@IF(G1&gt;H1,&quot;*&quot;,&quot;-&quot;)"/>
    <hyperlink ref="G10" r:id="rId32" display="=@IF(G1&gt;H1,&quot;*&quot;,&quot;-&quot;)"/>
    <hyperlink ref="G11" r:id="rId33" display="=@IF(G1&gt;H1,&quot;*&quot;,&quot;-&quot;)"/>
    <hyperlink ref="G12" r:id="rId34" display="=@IF(G1&gt;H1,&quot;*&quot;,&quot;-&quot;)"/>
    <hyperlink ref="G13" r:id="rId35" display="=@IF(G1&gt;H1,&quot;*&quot;,&quot;-&quot;)"/>
    <hyperlink ref="G14" r:id="rId36" display="=@IF(G1&gt;H1,&quot;*&quot;,&quot;-&quot;)"/>
    <hyperlink ref="G15" r:id="rId37" display="=@IF(G1&gt;H1,&quot;*&quot;,&quot;-&quot;)"/>
    <hyperlink ref="G16" r:id="rId38" display="=@IF(G1&gt;H1,&quot;*&quot;,&quot;-&quot;)"/>
    <hyperlink ref="G17" r:id="rId39" display="=@IF(G1&gt;H1,&quot;*&quot;,&quot;-&quot;)"/>
    <hyperlink ref="G18" r:id="rId40" display="=@IF(G1&gt;H1,&quot;*&quot;,&quot;-&quot;)"/>
    <hyperlink ref="G19" r:id="rId41" display="=@IF(G1&gt;H1,&quot;*&quot;,&quot;-&quot;)"/>
    <hyperlink ref="H8" r:id="rId42" display="=@IF(G1&gt;H1,&quot;*&quot;,&quot;-&quot;)"/>
    <hyperlink ref="H9" r:id="rId43" display="=@IF(G1&gt;H1,&quot;*&quot;,&quot;-&quot;)"/>
    <hyperlink ref="H10" r:id="rId44" display="=@IF(G1&gt;H1,&quot;*&quot;,&quot;-&quot;)"/>
    <hyperlink ref="H11" r:id="rId45" display="=@IF(G1&gt;H1,&quot;*&quot;,&quot;-&quot;)"/>
    <hyperlink ref="H12" r:id="rId46" display="=@IF(G1&gt;H1,&quot;*&quot;,&quot;-&quot;)"/>
    <hyperlink ref="H13" r:id="rId47" display="=@IF(G1&gt;H1,&quot;*&quot;,&quot;-&quot;)"/>
    <hyperlink ref="H14" r:id="rId48" display="=@IF(G1&gt;H1,&quot;*&quot;,&quot;-&quot;)"/>
    <hyperlink ref="H15" r:id="rId49" display="=@IF(G1&gt;H1,&quot;*&quot;,&quot;-&quot;)"/>
    <hyperlink ref="H16" r:id="rId50" display="=@IF(G1&gt;H1,&quot;*&quot;,&quot;-&quot;)"/>
    <hyperlink ref="H17" r:id="rId51" display="=@IF(G1&gt;H1,&quot;*&quot;,&quot;-&quot;)"/>
    <hyperlink ref="H18" r:id="rId52" display="=@IF(G1&gt;H1,&quot;*&quot;,&quot;-&quot;)"/>
    <hyperlink ref="H19" r:id="rId5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9" r:id="rId55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>
    <tabColor indexed="45"/>
    <pageSetUpPr fitToPage="1"/>
  </sheetPr>
  <dimension ref="A1:J24"/>
  <sheetViews>
    <sheetView workbookViewId="0" topLeftCell="A1">
      <selection activeCell="C23" sqref="C23"/>
    </sheetView>
  </sheetViews>
  <sheetFormatPr defaultColWidth="9.140625" defaultRowHeight="12.75"/>
  <cols>
    <col min="1" max="1" width="6.00390625" style="0" bestFit="1" customWidth="1"/>
    <col min="2" max="2" width="21.7109375" style="0" bestFit="1" customWidth="1"/>
    <col min="3" max="3" width="20.28125" style="0" bestFit="1" customWidth="1"/>
    <col min="4" max="4" width="5.00390625" style="0" customWidth="1"/>
    <col min="6" max="6" width="13.7109375" style="0" customWidth="1"/>
    <col min="7" max="7" width="21.28125" style="114" customWidth="1"/>
    <col min="8" max="8" width="7.7109375" style="0" customWidth="1"/>
    <col min="9" max="9" width="9.8515625" style="0" customWidth="1"/>
  </cols>
  <sheetData>
    <row r="1" spans="1:10" ht="30">
      <c r="A1" s="322" t="s">
        <v>246</v>
      </c>
      <c r="G1" s="118" t="s">
        <v>116</v>
      </c>
      <c r="H1" s="119"/>
      <c r="I1" s="119"/>
      <c r="J1" s="120"/>
    </row>
    <row r="2" spans="1:10" ht="30">
      <c r="A2" s="102" t="s">
        <v>63</v>
      </c>
      <c r="B2" s="102" t="s">
        <v>99</v>
      </c>
      <c r="C2" s="103" t="s">
        <v>101</v>
      </c>
      <c r="D2" s="104"/>
      <c r="G2" s="118" t="s">
        <v>117</v>
      </c>
      <c r="H2" s="119"/>
      <c r="I2" s="119"/>
      <c r="J2" s="120"/>
    </row>
    <row r="3" spans="1:9" ht="15">
      <c r="A3" s="105">
        <v>1</v>
      </c>
      <c r="B3" s="106" t="str">
        <f>Ref!B24</f>
        <v>DAMEKS</v>
      </c>
      <c r="C3" s="222">
        <f>1!$F$27</f>
        <v>280</v>
      </c>
      <c r="D3" s="107">
        <f>IF(-C3&gt;=5*Ref!$E$16,"*****",IF(-C3&gt;=4*Ref!$E$16,"****",IF(-C3&gt;=3*Ref!$E$16,"***",IF(-C3&gt;=2*Ref!$E$16,"**",IF(-C3&gt;Ref!$E$16,"*","")))))</f>
      </c>
      <c r="E3" s="192" t="str">
        <f>IF($C3&gt;0,"(Alacaklı)",IF(C3&lt;0,"BORÇLU",""))</f>
        <v>(Alacaklı)</v>
      </c>
      <c r="G3" s="115">
        <f>IF(-C3&gt;=3*Ref!$E$16,B3,"")</f>
      </c>
      <c r="H3" s="116">
        <f>IF(-C3&gt;=5*Ref!$E$16,"*****",IF(-C3&gt;=4*Ref!$E$16,"****",IF(-C3&gt;=3*Ref!$E$16,"***","")))</f>
      </c>
      <c r="I3" s="117"/>
    </row>
    <row r="4" spans="1:9" ht="15">
      <c r="A4" s="105">
        <v>2</v>
      </c>
      <c r="B4" s="106" t="str">
        <f>Ref!B25</f>
        <v>M. Çağrı OKUR</v>
      </c>
      <c r="C4" s="222">
        <f>2!$F$27</f>
        <v>-449.80999999999995</v>
      </c>
      <c r="D4" s="107" t="str">
        <f>IF(-C4&gt;=5*Ref!$C$16,"*****",IF(-C4&gt;=4*Ref!$C$16,"****",IF(-C4&gt;=3*Ref!$C$16,"***",IF(-C4&gt;=2*Ref!$C$16,"**",IF(-C4&gt;Ref!$C$16,"*","")))))</f>
        <v>**</v>
      </c>
      <c r="E4" s="192" t="str">
        <f aca="true" t="shared" si="0" ref="E4:E21">IF($C4&gt;0,"(Alacaklı)",IF(C4&lt;0,"BORÇLU",""))</f>
        <v>BORÇLU</v>
      </c>
      <c r="G4" s="115" t="str">
        <f>IF(-C4&gt;=3*Ref!$E$16,B4,"")</f>
        <v>M. Çağrı OKUR</v>
      </c>
      <c r="H4" s="116" t="str">
        <f>IF(-C4&gt;=5*Ref!$E$16,"*****",IF(-C4&gt;=4*Ref!$E$16,"****",IF(-C4&gt;=3*Ref!$E$16,"***","")))</f>
        <v>***</v>
      </c>
      <c r="I4" s="117"/>
    </row>
    <row r="5" spans="1:9" ht="15">
      <c r="A5" s="105">
        <v>3</v>
      </c>
      <c r="B5" s="106" t="str">
        <f>Ref!B26</f>
        <v>Nihat BABAOĞLU</v>
      </c>
      <c r="C5" s="222">
        <f>3!$F$27</f>
        <v>0</v>
      </c>
      <c r="D5" s="107">
        <f>IF(-C5&gt;=5*Ref!$E$16,"*****",IF(-C5&gt;=4*Ref!$E$16,"****",IF(-C5&gt;=3*Ref!$E$16,"***",IF(-C5&gt;=2*Ref!$E$16,"**",IF(-C5&gt;Ref!$E$16,"*","")))))</f>
      </c>
      <c r="E5" s="192">
        <f t="shared" si="0"/>
      </c>
      <c r="G5" s="115">
        <f>IF(-C5&gt;=3*Ref!$E$16,B5,"")</f>
      </c>
      <c r="H5" s="116">
        <f>IF(-C5&gt;=5*Ref!$E$16,"*****",IF(-C5&gt;=4*Ref!$E$16,"****",IF(-C5&gt;=3*Ref!$E$16,"***","")))</f>
      </c>
      <c r="I5" s="117"/>
    </row>
    <row r="6" spans="1:9" ht="15">
      <c r="A6" s="105">
        <v>4</v>
      </c>
      <c r="B6" s="106" t="str">
        <f>Ref!B27</f>
        <v>Murat BABAOĞLU</v>
      </c>
      <c r="C6" s="222">
        <f>4!$F$27</f>
        <v>0</v>
      </c>
      <c r="D6" s="107">
        <f>IF(-C6&gt;=5*Ref!$C$16,"*****",IF(-C6&gt;=4*Ref!$C$16,"****",IF(-C6&gt;=3*Ref!$C$16,"***",IF(-C6&gt;=2*Ref!$C$16,"**",IF(-C6&gt;Ref!$C$16,"*","")))))</f>
      </c>
      <c r="E6" s="192">
        <f t="shared" si="0"/>
      </c>
      <c r="G6" s="115">
        <f>IF(-C6&gt;=3*Ref!$E$16,B6,"")</f>
      </c>
      <c r="H6" s="116">
        <f>IF(-C6&gt;=5*Ref!$E$16,"*****",IF(-C6&gt;=4*Ref!$E$16,"****",IF(-C6&gt;=3*Ref!$E$16,"***","")))</f>
      </c>
      <c r="I6" s="117"/>
    </row>
    <row r="7" spans="1:9" ht="15">
      <c r="A7" s="105">
        <v>5</v>
      </c>
      <c r="B7" s="106" t="str">
        <f>Ref!B28</f>
        <v>Avram LEVİ</v>
      </c>
      <c r="C7" s="222">
        <f>5!$F$27</f>
        <v>0</v>
      </c>
      <c r="D7" s="107">
        <f>IF(-C7&gt;=5*Ref!$E$16,"*****",IF(-C7&gt;=4*Ref!$E$16,"****",IF(-C7&gt;=3*Ref!$E$16,"***",IF(-C7&gt;=2*Ref!$E$16,"**",IF(-C7&gt;Ref!$E$16,"*","")))))</f>
      </c>
      <c r="E7" s="192">
        <f t="shared" si="0"/>
      </c>
      <c r="G7" s="115">
        <f>IF(-C7&gt;=3*Ref!$E$16,B7,"")</f>
      </c>
      <c r="H7" s="116">
        <f>IF(-C7&gt;=5*Ref!$E$16,"*****",IF(-C7&gt;=4*Ref!$E$16,"****",IF(-C7&gt;=3*Ref!$E$16,"***","")))</f>
      </c>
      <c r="I7" s="117"/>
    </row>
    <row r="8" spans="1:9" ht="15">
      <c r="A8" s="105">
        <v>6</v>
      </c>
      <c r="B8" s="106" t="str">
        <f>Ref!B29</f>
        <v>M. Tevfik KURŞUN</v>
      </c>
      <c r="C8" s="222">
        <f>6!$F$27</f>
        <v>0</v>
      </c>
      <c r="D8" s="107">
        <f>IF(-C8&gt;=5*Ref!$C$16,"*****",IF(-C8&gt;=4*Ref!$C$16,"****",IF(-C8&gt;=3*Ref!$C$16,"***",IF(-C8&gt;=2*Ref!$C$16,"**",IF(-C8&gt;Ref!$C$16,"*","")))))</f>
      </c>
      <c r="E8" s="192">
        <f t="shared" si="0"/>
      </c>
      <c r="G8" s="115">
        <f>IF(-C8&gt;=3*Ref!$E$16,B8,"")</f>
      </c>
      <c r="H8" s="116">
        <f>IF(-C8&gt;=5*Ref!$E$16,"*****",IF(-C8&gt;=4*Ref!$E$16,"****",IF(-C8&gt;=3*Ref!$E$16,"***","")))</f>
      </c>
      <c r="I8" s="117"/>
    </row>
    <row r="9" spans="1:9" ht="15">
      <c r="A9" s="105">
        <v>7</v>
      </c>
      <c r="B9" s="106" t="str">
        <f>Ref!B30</f>
        <v>STROHKORB</v>
      </c>
      <c r="C9" s="222">
        <f>7!$F$27</f>
        <v>0</v>
      </c>
      <c r="D9" s="107">
        <f>IF(-C9&gt;=5*Ref!$E$16,"*****",IF(-C9&gt;=4*Ref!$E$16,"****",IF(-C9&gt;=3*Ref!$E$16,"***",IF(-C9&gt;=2*Ref!$E$16,"**",IF(-C9&gt;Ref!$E$16,"*","")))))</f>
      </c>
      <c r="E9" s="192">
        <f t="shared" si="0"/>
      </c>
      <c r="G9" s="115">
        <f>IF(-C9&gt;=3*Ref!$E$16,B9,"")</f>
      </c>
      <c r="H9" s="116">
        <f>IF(-C9&gt;=5*Ref!$E$16,"*****",IF(-C9&gt;=4*Ref!$E$16,"****",IF(-C9&gt;=3*Ref!$E$16,"***","")))</f>
      </c>
      <c r="I9" s="117"/>
    </row>
    <row r="10" spans="1:9" ht="15">
      <c r="A10" s="105">
        <v>8</v>
      </c>
      <c r="B10" s="106" t="str">
        <f>Ref!B31</f>
        <v>Tülin TÜRER</v>
      </c>
      <c r="C10" s="222">
        <f>8!$F$27</f>
        <v>0</v>
      </c>
      <c r="D10" s="107">
        <f>IF(-C10&gt;=5*Ref!$C$16,"*****",IF(-C10&gt;=4*Ref!$C$16,"****",IF(-C10&gt;=3*Ref!$C$16,"***",IF(-C10&gt;=2*Ref!$C$16,"**",IF(-C10&gt;Ref!$C$16,"*","")))))</f>
      </c>
      <c r="E10" s="192">
        <f t="shared" si="0"/>
      </c>
      <c r="G10" s="115">
        <f>IF(-C10&gt;=3*Ref!$E$16,B10,"")</f>
      </c>
      <c r="H10" s="116">
        <f>IF(-C10&gt;=5*Ref!$E$16,"*****",IF(-C10&gt;=4*Ref!$E$16,"****",IF(-C10&gt;=3*Ref!$E$16,"***","")))</f>
      </c>
      <c r="I10" s="117"/>
    </row>
    <row r="11" spans="1:9" ht="15">
      <c r="A11" s="105">
        <v>9</v>
      </c>
      <c r="B11" s="106" t="str">
        <f>Ref!B32</f>
        <v>Fahri ÇAMLIBEL</v>
      </c>
      <c r="C11" s="222">
        <f>9!$F$27</f>
        <v>-641.1800000000001</v>
      </c>
      <c r="D11" s="107" t="str">
        <f>IF(-C11&gt;=5*Ref!$E$16,"*****",IF(-C11&gt;=4*Ref!$E$16,"****",IF(-C11&gt;=3*Ref!$E$16,"***",IF(-C11&gt;=2*Ref!$E$16,"**",IF(-C11&gt;Ref!$E$16,"*","")))))</f>
        <v>****</v>
      </c>
      <c r="E11" s="192" t="str">
        <f t="shared" si="0"/>
        <v>BORÇLU</v>
      </c>
      <c r="G11" s="115" t="str">
        <f>IF(-C11&gt;=3*Ref!$E$16,B11,"")</f>
        <v>Fahri ÇAMLIBEL</v>
      </c>
      <c r="H11" s="116" t="str">
        <f>IF(-C11&gt;=5*Ref!$E$16,"*****",IF(-C11&gt;=4*Ref!$E$16,"****",IF(-C11&gt;=3*Ref!$E$16,"***","")))</f>
        <v>****</v>
      </c>
      <c r="I11" s="117"/>
    </row>
    <row r="12" spans="1:9" ht="15">
      <c r="A12" s="105">
        <v>10</v>
      </c>
      <c r="B12" s="106" t="str">
        <f>Ref!B33</f>
        <v>Melih ÜNAL</v>
      </c>
      <c r="C12" s="222">
        <f>'10'!$F$27</f>
        <v>-516.81</v>
      </c>
      <c r="D12" s="107" t="str">
        <f>IF(-C12&gt;=5*Ref!$C$16,"*****",IF(-C12&gt;=4*Ref!$C$16,"****",IF(-C12&gt;=3*Ref!$C$16,"***",IF(-C12&gt;=2*Ref!$C$16,"**",IF(-C12&gt;Ref!$C$16,"*","")))))</f>
        <v>***</v>
      </c>
      <c r="E12" s="192" t="str">
        <f t="shared" si="0"/>
        <v>BORÇLU</v>
      </c>
      <c r="G12" s="115" t="str">
        <f>IF(-C12&gt;=3*Ref!$E$16,B12,"")</f>
        <v>Melih ÜNAL</v>
      </c>
      <c r="H12" s="116" t="str">
        <f>IF(-C12&gt;=5*Ref!$E$16,"*****",IF(-C12&gt;=4*Ref!$E$16,"****",IF(-C12&gt;=3*Ref!$E$16,"***","")))</f>
        <v>***</v>
      </c>
      <c r="I12" s="117"/>
    </row>
    <row r="13" spans="1:9" ht="15">
      <c r="A13" s="105">
        <v>11</v>
      </c>
      <c r="B13" s="106" t="str">
        <f>Ref!B34</f>
        <v>Fİgen ÜNER</v>
      </c>
      <c r="C13" s="222">
        <f>'11'!$F$27</f>
        <v>0</v>
      </c>
      <c r="D13" s="107">
        <f>IF(-C13&gt;=5*Ref!$E$16,"*****",IF(-C13&gt;=4*Ref!$E$16,"****",IF(-C13&gt;=3*Ref!$E$16,"***",IF(-C13&gt;=2*Ref!$E$16,"**",IF(-C13&gt;Ref!$E$16,"*","")))))</f>
      </c>
      <c r="E13" s="192">
        <f t="shared" si="0"/>
      </c>
      <c r="G13" s="115">
        <f>IF(-C13&gt;=3*Ref!$E$16,B13,"")</f>
      </c>
      <c r="H13" s="116">
        <f>IF(-C13&gt;=5*Ref!$E$16,"*****",IF(-C13&gt;=4*Ref!$E$16,"****",IF(-C13&gt;=3*Ref!$E$16,"***","")))</f>
      </c>
      <c r="I13" s="117"/>
    </row>
    <row r="14" spans="1:9" ht="15">
      <c r="A14" s="105">
        <v>12</v>
      </c>
      <c r="B14" s="106" t="str">
        <f>Ref!B35</f>
        <v>Süreyya DORKEN</v>
      </c>
      <c r="C14" s="222">
        <f>'12'!$F$27</f>
        <v>0</v>
      </c>
      <c r="D14" s="107">
        <f>IF(-C14&gt;=5*Ref!$C$16,"*****",IF(-C14&gt;=4*Ref!$C$16,"****",IF(-C14&gt;=3*Ref!$C$16,"***",IF(-C14&gt;=2*Ref!$C$16,"**",IF(-C14&gt;Ref!$C$16,"*","")))))</f>
      </c>
      <c r="E14" s="192">
        <f t="shared" si="0"/>
      </c>
      <c r="G14" s="115">
        <f>IF(-C14&gt;=3*Ref!$E$16,B14,"")</f>
      </c>
      <c r="H14" s="116">
        <f>IF(-C14&gt;=5*Ref!$E$16,"*****",IF(-C14&gt;=4*Ref!$E$16,"****",IF(-C14&gt;=3*Ref!$E$16,"***","")))</f>
      </c>
      <c r="I14" s="117"/>
    </row>
    <row r="15" spans="1:9" ht="15">
      <c r="A15" s="105">
        <v>13</v>
      </c>
      <c r="B15" s="106" t="str">
        <f>Ref!B36</f>
        <v>Nesim SİGURA</v>
      </c>
      <c r="C15" s="222">
        <f>'13'!$F$27</f>
        <v>-130</v>
      </c>
      <c r="D15" s="107">
        <f>IF(-C15&gt;=5*Ref!$E$16,"*****",IF(-C15&gt;=4*Ref!$E$16,"****",IF(-C15&gt;=3*Ref!$E$16,"***",IF(-C15&gt;=2*Ref!$E$16,"**",IF(-C15&gt;Ref!$E$16,"*","")))))</f>
      </c>
      <c r="E15" s="192" t="str">
        <f t="shared" si="0"/>
        <v>BORÇLU</v>
      </c>
      <c r="G15" s="115">
        <f>IF(-C15&gt;=3*Ref!$E$16,B15,"")</f>
      </c>
      <c r="H15" s="116">
        <f>IF(-C15&gt;=5*Ref!$E$16,"*****",IF(-C15&gt;=4*Ref!$E$16,"****",IF(-C15&gt;=3*Ref!$E$16,"***","")))</f>
      </c>
      <c r="I15" s="117"/>
    </row>
    <row r="16" spans="1:9" ht="15">
      <c r="A16" s="105">
        <v>14</v>
      </c>
      <c r="B16" s="106" t="str">
        <f>Ref!B37</f>
        <v>R. Ahmet KURŞUN</v>
      </c>
      <c r="C16" s="222">
        <f>'14'!$F$27</f>
        <v>0</v>
      </c>
      <c r="D16" s="107">
        <f>IF(-C16&gt;=5*Ref!$I$16,"*****",IF(-C16&gt;=4*Ref!$I$16,"****",IF(-C16&gt;=3*Ref!$I$16,"***",IF(-C16&gt;=2*Ref!$I$16,"**",IF(-C16&gt;Ref!$I$16,"*","")))))</f>
      </c>
      <c r="E16" s="192">
        <f t="shared" si="0"/>
      </c>
      <c r="G16" s="115">
        <f>IF(-C16&gt;=3*Ref!$E$16,B16,"")</f>
      </c>
      <c r="H16" s="116">
        <f>IF(-C16&gt;=5*Ref!$E$16,"*****",IF(-C16&gt;=4*Ref!$E$16,"****",IF(-C16&gt;=3*Ref!$E$16,"***","")))</f>
      </c>
      <c r="I16" s="117"/>
    </row>
    <row r="17" spans="1:9" ht="15">
      <c r="A17" s="105">
        <v>16</v>
      </c>
      <c r="B17" s="106" t="str">
        <f>Ref!B38</f>
        <v>Rümeysa ALTUNAY</v>
      </c>
      <c r="C17" s="222">
        <f>'16'!$F$27</f>
        <v>0</v>
      </c>
      <c r="D17" s="107">
        <f>IF(-C17&gt;=5*Ref!$G$16,"*****",IF(-C17&gt;=4*Ref!$G$16,"****",IF(-C17&gt;=3*Ref!$G$16,"***",IF(-C17&gt;=2*Ref!$G$16,"**",IF(-C17&gt;Ref!$G$16,"*","")))))</f>
      </c>
      <c r="E17" s="192">
        <f t="shared" si="0"/>
      </c>
      <c r="G17" s="115">
        <f>IF(-C17&gt;=3*Ref!$E$16,B17,"")</f>
      </c>
      <c r="H17" s="116">
        <f>IF(-C17&gt;=5*Ref!$E$16,"*****",IF(-C17&gt;=4*Ref!$E$16,"****",IF(-C17&gt;=3*Ref!$E$16,"***","")))</f>
      </c>
      <c r="I17" s="117"/>
    </row>
    <row r="18" spans="1:9" ht="15">
      <c r="A18" s="105" t="s">
        <v>73</v>
      </c>
      <c r="B18" s="106" t="str">
        <f>Ref!B39</f>
        <v>ER-SEL Ticaret</v>
      </c>
      <c r="C18" s="222">
        <f>'16A'!$F$27</f>
        <v>0</v>
      </c>
      <c r="D18" s="107">
        <f>IF(-C18&gt;=5*Ref!$G$16,"*****",IF(-C18&gt;=4*Ref!$G$16,"****",IF(-C18&gt;=3*Ref!$G$16,"***",IF(-C18&gt;=2*Ref!$G$16,"**",IF(-C18&gt;Ref!$G$16,"*","")))))</f>
      </c>
      <c r="E18" s="192">
        <f t="shared" si="0"/>
      </c>
      <c r="G18" s="115">
        <f>IF(-C18&gt;=3*Ref!$E$16,B18,"")</f>
      </c>
      <c r="H18" s="116">
        <f>IF(-C18&gt;=5*Ref!$E$16,"*****",IF(-C18&gt;=4*Ref!$E$16,"****",IF(-C18&gt;=3*Ref!$E$16,"***","")))</f>
      </c>
      <c r="I18" s="117"/>
    </row>
    <row r="19" spans="1:9" ht="15">
      <c r="A19" s="105" t="s">
        <v>74</v>
      </c>
      <c r="B19" s="106" t="str">
        <f>Ref!B40</f>
        <v>Ahmet ATAKAN</v>
      </c>
      <c r="C19" s="222">
        <f>'16B'!$F$27</f>
        <v>0</v>
      </c>
      <c r="D19" s="107">
        <f>IF(-C19&gt;=5*Ref!$G$16,"*****",IF(-C19&gt;=4*Ref!$G$16,"****",IF(-C19&gt;=3*Ref!$G$16,"***",IF(-C19&gt;=2*Ref!$G$16,"**",IF(-C19&gt;Ref!$G$16,"*","")))))</f>
      </c>
      <c r="E19" s="192">
        <f t="shared" si="0"/>
      </c>
      <c r="G19" s="115">
        <f>IF(-C19&gt;=3*Ref!$E$16,B19,"")</f>
      </c>
      <c r="H19" s="116">
        <f>IF(-C19&gt;=5*Ref!$E$16,"*****",IF(-C19&gt;=4*Ref!$E$16,"****",IF(-C19&gt;=3*Ref!$E$16,"***","")))</f>
      </c>
      <c r="I19" s="117"/>
    </row>
    <row r="20" spans="1:9" ht="15">
      <c r="A20" s="105" t="s">
        <v>75</v>
      </c>
      <c r="B20" s="106" t="str">
        <f>Ref!B41</f>
        <v>Beki Şikar</v>
      </c>
      <c r="C20" s="222">
        <f>2A!$F$27</f>
        <v>0</v>
      </c>
      <c r="D20" s="107">
        <f>IF(-C20&gt;=5*Ref!$G$16,"*****",IF(-C20&gt;=4*Ref!$G$16,"****",IF(-C20&gt;=3*Ref!$G$16,"***",IF(-C20&gt;=2*Ref!$G$16,"**",IF(-C20&gt;Ref!$G$16,"*","")))))</f>
      </c>
      <c r="E20" s="192">
        <f t="shared" si="0"/>
      </c>
      <c r="G20" s="115">
        <f>IF(-C20&gt;=3*Ref!$E$16,B20,"")</f>
      </c>
      <c r="H20" s="116">
        <f>IF(-C20&gt;=5*Ref!$E$16,"*****",IF(-C20&gt;=4*Ref!$E$16,"****",IF(-C20&gt;=3*Ref!$E$16,"***","")))</f>
      </c>
      <c r="I20" s="117"/>
    </row>
    <row r="21" spans="1:9" ht="15">
      <c r="A21" s="105" t="s">
        <v>76</v>
      </c>
      <c r="B21" s="106" t="str">
        <f>Ref!B42</f>
        <v>Didar ÇAĞIRGAN</v>
      </c>
      <c r="C21" s="222">
        <f>2B!$F$27</f>
        <v>-280</v>
      </c>
      <c r="D21" s="107" t="str">
        <f>IF(-C21&gt;=5*Ref!$G$16,"*****",IF(-C21&gt;=4*Ref!$G$16,"****",IF(-C21&gt;=3*Ref!$G$16,"***",IF(-C21&gt;=2*Ref!$G$16,"**",IF(-C21&gt;Ref!$G$16,"*","")))))</f>
        <v>*****</v>
      </c>
      <c r="E21" s="192" t="str">
        <f t="shared" si="0"/>
        <v>BORÇLU</v>
      </c>
      <c r="G21" s="115">
        <f>IF(-C21&gt;=3*Ref!$E$16,B21,"")</f>
      </c>
      <c r="H21" s="116">
        <f>IF(-C21&gt;=5*Ref!$E$16,"*****",IF(-C21&gt;=4*Ref!$E$16,"****",IF(-C21&gt;=3*Ref!$E$16,"***","")))</f>
      </c>
      <c r="I21" s="117"/>
    </row>
    <row r="22" spans="1:4" ht="15">
      <c r="A22" s="104"/>
      <c r="B22" s="104"/>
      <c r="C22" s="223"/>
      <c r="D22" s="104"/>
    </row>
    <row r="23" spans="1:8" ht="15">
      <c r="A23" s="104"/>
      <c r="B23" s="103" t="s">
        <v>100</v>
      </c>
      <c r="C23" s="224">
        <f>SUM(C3:C22)</f>
        <v>-1737.8</v>
      </c>
      <c r="D23" s="104"/>
      <c r="G23" s="259">
        <f>Ekstre!F2</f>
        <v>39599</v>
      </c>
      <c r="H23" s="260" t="s">
        <v>187</v>
      </c>
    </row>
    <row r="24" spans="2:3" ht="12.75">
      <c r="B24" s="112" t="s">
        <v>118</v>
      </c>
      <c r="C24" s="12"/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2"/>
  <ignoredErrors>
    <ignoredError sqref="D4:D6 D10:D12 D14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19">
    <tabColor indexed="41"/>
    <pageSetUpPr fitToPage="1"/>
  </sheetPr>
  <dimension ref="A1:I95"/>
  <sheetViews>
    <sheetView zoomScale="85" zoomScaleNormal="85" workbookViewId="0" topLeftCell="A1">
      <selection activeCell="C15" sqref="C15"/>
    </sheetView>
  </sheetViews>
  <sheetFormatPr defaultColWidth="9.140625" defaultRowHeight="12.75"/>
  <cols>
    <col min="1" max="1" width="11.57421875" style="3" customWidth="1"/>
    <col min="2" max="2" width="24.00390625" style="0" customWidth="1"/>
    <col min="3" max="3" width="17.00390625" style="4" customWidth="1"/>
    <col min="4" max="4" width="5.8515625" style="0" customWidth="1"/>
    <col min="5" max="5" width="11.57421875" style="3" customWidth="1"/>
    <col min="6" max="6" width="22.8515625" style="0" bestFit="1" customWidth="1"/>
    <col min="7" max="7" width="17.140625" style="0" customWidth="1"/>
    <col min="8" max="8" width="11.57421875" style="0" bestFit="1" customWidth="1"/>
    <col min="9" max="9" width="17.2812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12</v>
      </c>
      <c r="B2" s="59" t="str">
        <f>Ref!B35</f>
        <v>Süreyya DORKEN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39311</v>
      </c>
      <c r="B6" s="407" t="s">
        <v>378</v>
      </c>
      <c r="C6" s="409">
        <v>300</v>
      </c>
      <c r="D6" s="52"/>
      <c r="E6" s="3">
        <f>Ref!A8</f>
        <v>39239</v>
      </c>
      <c r="F6" s="3" t="str">
        <f>Ref!B7</f>
        <v>Devreden Alacak</v>
      </c>
      <c r="G6" s="510">
        <v>0</v>
      </c>
      <c r="H6" s="217"/>
      <c r="I6" s="234">
        <f>SUM(G6:H6)</f>
        <v>0</v>
      </c>
    </row>
    <row r="7" spans="1:9" ht="12.75">
      <c r="A7" s="452">
        <v>39337</v>
      </c>
      <c r="B7" s="407" t="s">
        <v>402</v>
      </c>
      <c r="C7" s="409">
        <v>150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IF(Ref!$B$1&gt;=Ref!$A9,Ref!C9,0)</f>
        <v>150</v>
      </c>
      <c r="H7" s="236">
        <f>IF(Ref!$B$1&gt;=Ref!$A9,Ref!D9,0)</f>
        <v>0</v>
      </c>
      <c r="I7" s="234">
        <f>SUM(G7:H7)</f>
        <v>150</v>
      </c>
    </row>
    <row r="8" spans="1:9" ht="12.75">
      <c r="A8" s="452">
        <v>39358</v>
      </c>
      <c r="B8" s="407" t="s">
        <v>421</v>
      </c>
      <c r="C8" s="409">
        <v>150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IF(Ref!$B$1&gt;=Ref!$A10,Ref!C10,0)</f>
        <v>150</v>
      </c>
      <c r="H8" s="236">
        <f>IF(Ref!$B$1&gt;=Ref!$A10,Ref!D10,0)</f>
        <v>0</v>
      </c>
      <c r="I8" s="234">
        <f aca="true" t="shared" si="0" ref="I8:I19">SUM(G8:H8)</f>
        <v>150</v>
      </c>
    </row>
    <row r="9" spans="1:9" ht="12.75">
      <c r="A9" s="452">
        <v>39391</v>
      </c>
      <c r="B9" s="407" t="s">
        <v>451</v>
      </c>
      <c r="C9" s="409">
        <v>150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IF(Ref!$B$1&gt;=Ref!$A11,Ref!C11,0)</f>
        <v>150</v>
      </c>
      <c r="H9" s="236">
        <f>IF(Ref!$B$1&gt;=Ref!$A11,Ref!D11,0)</f>
        <v>0</v>
      </c>
      <c r="I9" s="234">
        <f t="shared" si="0"/>
        <v>150</v>
      </c>
    </row>
    <row r="10" spans="1:9" ht="12.75">
      <c r="A10" s="452">
        <v>39421</v>
      </c>
      <c r="B10" s="407" t="s">
        <v>479</v>
      </c>
      <c r="C10" s="409">
        <v>150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IF(Ref!$B$1&gt;=Ref!$A12,Ref!C12,0)</f>
        <v>150</v>
      </c>
      <c r="H10" s="236">
        <f>IF(Ref!$B$1&gt;=Ref!$A12,Ref!D12,0)</f>
        <v>0</v>
      </c>
      <c r="I10" s="234">
        <f t="shared" si="0"/>
        <v>150</v>
      </c>
    </row>
    <row r="11" spans="1:9" ht="12.75">
      <c r="A11" s="452">
        <v>39450</v>
      </c>
      <c r="B11" s="407" t="s">
        <v>501</v>
      </c>
      <c r="C11" s="409">
        <v>150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IF(Ref!$B$1&gt;=Ref!$A13,Ref!C13,0)</f>
        <v>150</v>
      </c>
      <c r="H11" s="236">
        <f>IF(Ref!$B$1&gt;=Ref!$A13,Ref!D13,0)</f>
        <v>0</v>
      </c>
      <c r="I11" s="234">
        <f t="shared" si="0"/>
        <v>150</v>
      </c>
    </row>
    <row r="12" spans="1:9" ht="12.75">
      <c r="A12" s="452">
        <v>39482</v>
      </c>
      <c r="B12" s="407" t="s">
        <v>523</v>
      </c>
      <c r="C12" s="409">
        <v>150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IF(Ref!$B$1&gt;=Ref!$A14,Ref!C14,0)</f>
        <v>150</v>
      </c>
      <c r="H12" s="236">
        <f>IF(Ref!$B$1&gt;=Ref!$A14,Ref!D14,0)</f>
        <v>0</v>
      </c>
      <c r="I12" s="234">
        <f t="shared" si="0"/>
        <v>150</v>
      </c>
    </row>
    <row r="13" spans="1:9" ht="12.75">
      <c r="A13" s="452">
        <v>39511</v>
      </c>
      <c r="B13" s="407" t="s">
        <v>552</v>
      </c>
      <c r="C13" s="409">
        <v>150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IF(Ref!$B$1&gt;=Ref!$A15,Ref!C15,0)</f>
        <v>150</v>
      </c>
      <c r="H13" s="236">
        <f>IF(Ref!$B$1&gt;=Ref!$A15,Ref!D15,0)</f>
        <v>0</v>
      </c>
      <c r="I13" s="234">
        <f t="shared" si="0"/>
        <v>150</v>
      </c>
    </row>
    <row r="14" spans="1:9" ht="12.75">
      <c r="A14" s="452">
        <v>39541</v>
      </c>
      <c r="B14" s="407" t="s">
        <v>581</v>
      </c>
      <c r="C14" s="409">
        <v>150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IF(Ref!$B$1&gt;=Ref!$A16,Ref!C16,0)</f>
        <v>150</v>
      </c>
      <c r="H14" s="236">
        <f>IF(Ref!$B$1&gt;=Ref!$A16,Ref!D16,0)</f>
        <v>0</v>
      </c>
      <c r="I14" s="234">
        <f t="shared" si="0"/>
        <v>150</v>
      </c>
    </row>
    <row r="15" spans="1:9" ht="12.75">
      <c r="A15" s="452">
        <v>39573</v>
      </c>
      <c r="B15" s="407" t="s">
        <v>606</v>
      </c>
      <c r="C15" s="409">
        <v>150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IF(Ref!$B$1&gt;=Ref!$A17,Ref!C17,0)</f>
        <v>150</v>
      </c>
      <c r="H15" s="236">
        <f>IF(Ref!$B$1&gt;=Ref!$A17,Ref!D17,0)</f>
        <v>0</v>
      </c>
      <c r="I15" s="234">
        <f t="shared" si="0"/>
        <v>150</v>
      </c>
    </row>
    <row r="16" spans="1:9" ht="12.75">
      <c r="A16" s="452"/>
      <c r="B16" s="407"/>
      <c r="C16" s="409"/>
      <c r="D16" s="52"/>
      <c r="E16" s="3">
        <f>Ref!A18</f>
        <v>39539</v>
      </c>
      <c r="F16" s="3" t="str">
        <f>Ref!B18</f>
        <v>Nisan-2008 Ödentisi</v>
      </c>
      <c r="G16" s="236">
        <f>IF(Ref!$B$1&gt;=Ref!$A18,Ref!C18,0)</f>
        <v>150</v>
      </c>
      <c r="H16" s="236">
        <f>IF(Ref!$B$1&gt;=Ref!$A18,Ref!D18,0)</f>
        <v>0</v>
      </c>
      <c r="I16" s="234">
        <f t="shared" si="0"/>
        <v>150</v>
      </c>
    </row>
    <row r="17" spans="1:9" ht="12.75">
      <c r="A17" s="452"/>
      <c r="B17" s="407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IF(Ref!$B$1&gt;=Ref!$A19,Ref!C19,0)</f>
        <v>150</v>
      </c>
      <c r="H17" s="236">
        <f>IF(Ref!$B$1&gt;=Ref!$A19,Ref!D19,0)</f>
        <v>0</v>
      </c>
      <c r="I17" s="234">
        <f t="shared" si="0"/>
        <v>150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IF(Ref!$B$1&gt;=Ref!$A20,Ref!C20,0)</f>
        <v>0</v>
      </c>
      <c r="H18" s="236">
        <f>IF(Ref!$B$1&gt;=Ref!$A20,Ref!D20,0)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IF(Ref!$B$1&gt;=Ref!$A21,Ref!C21,0)</f>
        <v>0</v>
      </c>
      <c r="H19" s="236">
        <f>IF(Ref!$B$1&gt;=Ref!$A21,Ref!D21,0)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1650</v>
      </c>
      <c r="D21" s="51"/>
      <c r="F21" s="8" t="s">
        <v>62</v>
      </c>
      <c r="G21" s="237">
        <f>SUM(G6:G19)</f>
        <v>1650</v>
      </c>
      <c r="H21" s="237">
        <f>SUM(H6:H19)</f>
        <v>0</v>
      </c>
      <c r="I21" s="238">
        <f>SUM(I6:I20)</f>
        <v>1650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IF(Ref!$B$1&lt;Ref!$A10,Ref!D10,"-")</f>
        <v>-</v>
      </c>
      <c r="C26" s="54"/>
      <c r="D26" s="29"/>
      <c r="E26" s="28"/>
      <c r="F26" s="96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IF(Ref!$B$1&lt;Ref!$A11,Ref!D11,"-")</f>
        <v>-</v>
      </c>
      <c r="C27" s="54"/>
      <c r="D27" s="29"/>
      <c r="E27" s="28"/>
      <c r="F27" s="247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IF(Ref!$B$1&lt;Ref!$A12,Ref!D12,"-")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IF(Ref!$B$1&lt;Ref!$A13,Ref!D13,"-")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IF(Ref!$B$1&lt;Ref!$A14,Ref!D14,"-")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IF(Ref!$B$1&lt;Ref!$A15,Ref!D15,"-")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IF(Ref!$B$1&lt;Ref!$A16,Ref!D16,"-")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IF(Ref!$B$1&lt;Ref!$A17,Ref!D17,"-")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IF(Ref!$B$1&lt;Ref!$A18,Ref!D18,"-")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IF(Ref!$B$1&lt;Ref!$A19,Ref!D19,"-")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IF(Ref!$B$1&lt;Ref!$A20,Ref!D20,"-")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IF(Ref!$B$1&lt;Ref!$A21,Ref!D21,"-")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spans="2:7" ht="12.75">
      <c r="B40" s="12"/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 horizontalCentered="1" verticalCentered="1"/>
  <pageMargins left="0.9448818897637796" right="0.35433070866141736" top="0.7874015748031497" bottom="0.5905511811023623" header="0.5118110236220472" footer="0.5118110236220472"/>
  <pageSetup fitToHeight="1" fitToWidth="1" horizontalDpi="300" verticalDpi="300" orientation="landscape" paperSize="9" scale="97" r:id="rId45"/>
  <drawing r:id="rId4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0">
    <tabColor indexed="42"/>
    <pageSetUpPr fitToPage="1"/>
  </sheetPr>
  <dimension ref="A1:I95"/>
  <sheetViews>
    <sheetView zoomScale="85" zoomScaleNormal="85" workbookViewId="0" topLeftCell="A1">
      <selection activeCell="C15" sqref="C15"/>
    </sheetView>
  </sheetViews>
  <sheetFormatPr defaultColWidth="9.140625" defaultRowHeight="12.75"/>
  <cols>
    <col min="1" max="1" width="11.57421875" style="3" customWidth="1"/>
    <col min="2" max="2" width="24.00390625" style="0" customWidth="1"/>
    <col min="3" max="3" width="15.8515625" style="4" customWidth="1"/>
    <col min="4" max="4" width="5.8515625" style="0" customWidth="1"/>
    <col min="5" max="5" width="11.57421875" style="3" customWidth="1"/>
    <col min="6" max="6" width="22.28125" style="0" customWidth="1"/>
    <col min="7" max="7" width="18.140625" style="0" customWidth="1"/>
    <col min="8" max="8" width="11.57421875" style="0" bestFit="1" customWidth="1"/>
    <col min="9" max="9" width="18.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13</v>
      </c>
      <c r="B2" s="69" t="str">
        <f>Ref!B36</f>
        <v>Nesim SİGURA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39295</v>
      </c>
      <c r="B6" s="407" t="s">
        <v>363</v>
      </c>
      <c r="C6" s="409">
        <v>270</v>
      </c>
      <c r="D6" s="52"/>
      <c r="E6" s="3">
        <f>Ref!A8</f>
        <v>39239</v>
      </c>
      <c r="F6" s="3" t="str">
        <f>Ref!B8</f>
        <v>Devreden Borç</v>
      </c>
      <c r="G6" s="242">
        <v>130</v>
      </c>
      <c r="H6" s="217"/>
      <c r="I6" s="234">
        <f>SUM(G6:H6)</f>
        <v>130</v>
      </c>
    </row>
    <row r="7" spans="1:9" ht="12.75">
      <c r="A7" s="452">
        <v>39315</v>
      </c>
      <c r="B7" s="407" t="s">
        <v>384</v>
      </c>
      <c r="C7" s="409">
        <v>140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IF(Ref!$B$1&gt;=Ref!$A9,Ref!E9,0)</f>
        <v>140</v>
      </c>
      <c r="H7" s="236">
        <f>IF(Ref!$B$1&gt;=Ref!$A9,Ref!F9,0)</f>
        <v>0</v>
      </c>
      <c r="I7" s="234">
        <f>SUM(G7:H7)</f>
        <v>140</v>
      </c>
    </row>
    <row r="8" spans="1:9" ht="12.75">
      <c r="A8" s="452">
        <v>39345</v>
      </c>
      <c r="B8" s="407" t="s">
        <v>403</v>
      </c>
      <c r="C8" s="409">
        <v>140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IF(Ref!$B$1&gt;=Ref!$A10,Ref!E10,0)</f>
        <v>140</v>
      </c>
      <c r="H8" s="236">
        <f>IF(Ref!$B$1&gt;=Ref!$A10,Ref!F10,0)</f>
        <v>0</v>
      </c>
      <c r="I8" s="234">
        <f aca="true" t="shared" si="0" ref="I8:I19">SUM(G8:H8)</f>
        <v>140</v>
      </c>
    </row>
    <row r="9" spans="1:9" ht="12.75">
      <c r="A9" s="452">
        <v>39363</v>
      </c>
      <c r="B9" s="407" t="s">
        <v>431</v>
      </c>
      <c r="C9" s="409">
        <v>140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IF(Ref!$B$1&gt;=Ref!$A11,Ref!E11,0)</f>
        <v>140</v>
      </c>
      <c r="H9" s="236">
        <f>IF(Ref!$B$1&gt;=Ref!$A11,Ref!F11,0)</f>
        <v>0</v>
      </c>
      <c r="I9" s="234">
        <f t="shared" si="0"/>
        <v>140</v>
      </c>
    </row>
    <row r="10" spans="1:9" ht="12.75">
      <c r="A10" s="452">
        <v>39409</v>
      </c>
      <c r="B10" s="407" t="s">
        <v>467</v>
      </c>
      <c r="C10" s="409">
        <v>140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IF(Ref!$B$1&gt;=Ref!$A12,Ref!E12,0)</f>
        <v>140</v>
      </c>
      <c r="H10" s="236">
        <f>IF(Ref!$B$1&gt;=Ref!$A12,Ref!F12,0)</f>
        <v>0</v>
      </c>
      <c r="I10" s="234">
        <f t="shared" si="0"/>
        <v>140</v>
      </c>
    </row>
    <row r="11" spans="1:9" ht="12.75">
      <c r="A11" s="452">
        <v>39442</v>
      </c>
      <c r="B11" s="407" t="s">
        <v>492</v>
      </c>
      <c r="C11" s="409">
        <v>140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IF(Ref!$B$1&gt;=Ref!$A13,Ref!E13,0)</f>
        <v>140</v>
      </c>
      <c r="H11" s="236">
        <f>IF(Ref!$B$1&gt;=Ref!$A13,Ref!F13,0)</f>
        <v>0</v>
      </c>
      <c r="I11" s="234">
        <f t="shared" si="0"/>
        <v>140</v>
      </c>
    </row>
    <row r="12" spans="1:9" ht="12.75">
      <c r="A12" s="452">
        <v>39458</v>
      </c>
      <c r="B12" s="407" t="s">
        <v>506</v>
      </c>
      <c r="C12" s="409">
        <v>140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IF(Ref!$B$1&gt;=Ref!$A14,Ref!E14,0)</f>
        <v>140</v>
      </c>
      <c r="H12" s="236">
        <f>IF(Ref!$B$1&gt;=Ref!$A14,Ref!F14,0)</f>
        <v>0</v>
      </c>
      <c r="I12" s="234">
        <f t="shared" si="0"/>
        <v>140</v>
      </c>
    </row>
    <row r="13" spans="1:9" ht="12.75">
      <c r="A13" s="452">
        <v>39511</v>
      </c>
      <c r="B13" s="407" t="s">
        <v>564</v>
      </c>
      <c r="C13" s="409">
        <v>150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IF(Ref!$B$1&gt;=Ref!$A15,Ref!E15,0)</f>
        <v>140</v>
      </c>
      <c r="H13" s="236">
        <f>IF(Ref!$B$1&gt;=Ref!$A15,Ref!F15,0)</f>
        <v>0</v>
      </c>
      <c r="I13" s="234">
        <f t="shared" si="0"/>
        <v>140</v>
      </c>
    </row>
    <row r="14" spans="1:9" ht="12.75">
      <c r="A14" s="452">
        <v>39518</v>
      </c>
      <c r="B14" s="407" t="s">
        <v>565</v>
      </c>
      <c r="C14" s="409">
        <v>130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IF(Ref!$B$1&gt;=Ref!$A16,Ref!E16,0)</f>
        <v>140</v>
      </c>
      <c r="H14" s="236">
        <f>IF(Ref!$B$1&gt;=Ref!$A16,Ref!F16,0)</f>
        <v>0</v>
      </c>
      <c r="I14" s="234">
        <f t="shared" si="0"/>
        <v>140</v>
      </c>
    </row>
    <row r="15" spans="1:9" ht="12.75">
      <c r="A15" s="452">
        <v>39541</v>
      </c>
      <c r="B15" s="407" t="s">
        <v>580</v>
      </c>
      <c r="C15" s="409">
        <v>150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IF(Ref!$B$1&gt;=Ref!$A17,Ref!E17,0)</f>
        <v>140</v>
      </c>
      <c r="H15" s="236">
        <f>IF(Ref!$B$1&gt;=Ref!$A17,Ref!F17,0)</f>
        <v>0</v>
      </c>
      <c r="I15" s="234">
        <f t="shared" si="0"/>
        <v>140</v>
      </c>
    </row>
    <row r="16" spans="1:9" ht="12.75">
      <c r="A16" s="452"/>
      <c r="B16" s="407"/>
      <c r="C16" s="409"/>
      <c r="D16" s="52"/>
      <c r="E16" s="3">
        <f>Ref!A18</f>
        <v>39539</v>
      </c>
      <c r="F16" s="3" t="str">
        <f>Ref!B18</f>
        <v>Nisan-2008 Ödentisi</v>
      </c>
      <c r="G16" s="236">
        <f>IF(Ref!$B$1&gt;=Ref!$A18,Ref!E18,0)</f>
        <v>140</v>
      </c>
      <c r="H16" s="236">
        <f>IF(Ref!$B$1&gt;=Ref!$A18,Ref!F18,0)</f>
        <v>0</v>
      </c>
      <c r="I16" s="234">
        <f t="shared" si="0"/>
        <v>140</v>
      </c>
    </row>
    <row r="17" spans="1:9" ht="12.75">
      <c r="A17" s="452"/>
      <c r="B17" s="407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IF(Ref!$B$1&gt;=Ref!$A19,Ref!E19,0)</f>
        <v>140</v>
      </c>
      <c r="H17" s="236">
        <f>IF(Ref!$B$1&gt;=Ref!$A19,Ref!F19,0)</f>
        <v>0</v>
      </c>
      <c r="I17" s="234">
        <f t="shared" si="0"/>
        <v>140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IF(Ref!$B$1&gt;=Ref!$A20,Ref!E20,0)</f>
        <v>0</v>
      </c>
      <c r="H18" s="236">
        <f>IF(Ref!$B$1&gt;=Ref!$A20,Ref!F20,0)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IF(Ref!$B$1&gt;=Ref!$A21,Ref!E21,0)</f>
        <v>0</v>
      </c>
      <c r="H19" s="236">
        <f>IF(Ref!$B$1&gt;=Ref!$A21,Ref!F21,0)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1:9" ht="14.25" thickBot="1" thickTop="1">
      <c r="A21" s="83"/>
      <c r="B21" s="84" t="s">
        <v>11</v>
      </c>
      <c r="C21" s="241">
        <f>SUM(C6:C20)</f>
        <v>1540</v>
      </c>
      <c r="D21" s="51"/>
      <c r="E21" s="83"/>
      <c r="F21" s="84" t="s">
        <v>62</v>
      </c>
      <c r="G21" s="244">
        <f>SUM(G6:G19)</f>
        <v>1670</v>
      </c>
      <c r="H21" s="244">
        <f>SUM(H6:H19)</f>
        <v>0</v>
      </c>
      <c r="I21" s="245">
        <f>SUM(I6:I20)</f>
        <v>1670</v>
      </c>
    </row>
    <row r="22" spans="1:9" ht="12.75">
      <c r="A22" s="35"/>
      <c r="B22" s="36"/>
      <c r="C22" s="37"/>
      <c r="D22" s="26"/>
      <c r="E22" s="35"/>
      <c r="F22" s="36"/>
      <c r="G22" s="38"/>
      <c r="H22" s="38"/>
      <c r="I22" s="39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2.75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IF(Ref!$B$1&lt;Ref!$A10,Ref!F10,"-")</f>
        <v>-</v>
      </c>
      <c r="C26" s="54"/>
      <c r="D26" s="29"/>
      <c r="E26" s="28"/>
      <c r="F26" s="64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5.75">
      <c r="A27" s="20" t="str">
        <f>IF(Ref!$B$1&lt;Ref!$A11,Ref!A11,"-")</f>
        <v>-</v>
      </c>
      <c r="B27" s="246" t="str">
        <f>IF(Ref!$B$1&lt;Ref!$A11,Ref!F11,"-")</f>
        <v>-</v>
      </c>
      <c r="C27" s="54"/>
      <c r="D27" s="29"/>
      <c r="E27" s="28"/>
      <c r="F27" s="239">
        <f>C21-I21</f>
        <v>-130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IF(Ref!$B$1&lt;Ref!$A12,Ref!F12,"-")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IF(Ref!$B$1&lt;Ref!$A13,Ref!F13,"-")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IF(Ref!$B$1&lt;Ref!$A14,Ref!F14,"-")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IF(Ref!$B$1&lt;Ref!$A15,Ref!F15,"-")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IF(Ref!$B$1&lt;Ref!$A16,Ref!F16,"-")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IF(Ref!$B$1&lt;Ref!$A17,Ref!F17,"-")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IF(Ref!$B$1&lt;Ref!$A18,Ref!F18,"-")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IF(Ref!$B$1&lt;Ref!$A19,Ref!F19,"-")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2.75">
      <c r="A36" s="20">
        <f>IF(Ref!$B$1&lt;Ref!$A20,Ref!A20,"-")</f>
        <v>39600</v>
      </c>
      <c r="B36" s="246">
        <f>IF(Ref!$B$1&lt;Ref!$A20,Ref!F20,"-")</f>
        <v>0</v>
      </c>
      <c r="C36" s="54"/>
      <c r="D36" s="80" t="s">
        <v>98</v>
      </c>
      <c r="E36" s="49"/>
      <c r="F36" s="81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IF(Ref!$B$1&lt;Ref!$A21,Ref!F21,"-")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" r:id="rId18" display="=@IF(G1&gt;H1,&quot;*&quot;,&quot;-&quot;)"/>
    <hyperlink ref="B28" r:id="rId19" display="=@IF(G1&gt;H1,&quot;*&quot;,&quot;-&quot;)"/>
    <hyperlink ref="B29" r:id="rId20" display="=@IF(G1&gt;H1,&quot;*&quot;,&quot;-&quot;)"/>
    <hyperlink ref="B30" r:id="rId21" display="=@IF(G1&gt;H1,&quot;*&quot;,&quot;-&quot;)"/>
    <hyperlink ref="B31" r:id="rId22" display="=@IF(G1&gt;H1,&quot;*&quot;,&quot;-&quot;)"/>
    <hyperlink ref="B32" r:id="rId23" display="=@IF(G1&gt;H1,&quot;*&quot;,&quot;-&quot;)"/>
    <hyperlink ref="B33" r:id="rId24" display="=@IF(G1&gt;H1,&quot;*&quot;,&quot;-&quot;)"/>
    <hyperlink ref="B34" r:id="rId25" display="=@IF(G1&gt;H1,&quot;*&quot;,&quot;-&quot;)"/>
    <hyperlink ref="B35" r:id="rId26" display="=@IF(G1&gt;H1,&quot;*&quot;,&quot;-&quot;)"/>
    <hyperlink ref="B36" r:id="rId27" display="=@IF(G1&gt;H1,&quot;*&quot;,&quot;-&quot;)"/>
    <hyperlink ref="B37" r:id="rId28" display="=@IF(G1&gt;H1,&quot;*&quot;,&quot;-&quot;)"/>
    <hyperlink ref="H2" r:id="rId29" display="=@today()"/>
    <hyperlink ref="G8" r:id="rId30" display="=@IF(G1&gt;H1,&quot;*&quot;,&quot;-&quot;)"/>
    <hyperlink ref="G9" r:id="rId31" display="=@IF(G1&gt;H1,&quot;*&quot;,&quot;-&quot;)"/>
    <hyperlink ref="G10" r:id="rId32" display="=@IF(G1&gt;H1,&quot;*&quot;,&quot;-&quot;)"/>
    <hyperlink ref="G11" r:id="rId33" display="=@IF(G1&gt;H1,&quot;*&quot;,&quot;-&quot;)"/>
    <hyperlink ref="G12" r:id="rId34" display="=@IF(G1&gt;H1,&quot;*&quot;,&quot;-&quot;)"/>
    <hyperlink ref="G13" r:id="rId35" display="=@IF(G1&gt;H1,&quot;*&quot;,&quot;-&quot;)"/>
    <hyperlink ref="G14" r:id="rId36" display="=@IF(G1&gt;H1,&quot;*&quot;,&quot;-&quot;)"/>
    <hyperlink ref="G15" r:id="rId37" display="=@IF(G1&gt;H1,&quot;*&quot;,&quot;-&quot;)"/>
    <hyperlink ref="G16" r:id="rId38" display="=@IF(G1&gt;H1,&quot;*&quot;,&quot;-&quot;)"/>
    <hyperlink ref="G17" r:id="rId39" display="=@IF(G1&gt;H1,&quot;*&quot;,&quot;-&quot;)"/>
    <hyperlink ref="G18" r:id="rId40" display="=@IF(G1&gt;H1,&quot;*&quot;,&quot;-&quot;)"/>
    <hyperlink ref="G19" r:id="rId41" display="=@IF(G1&gt;H1,&quot;*&quot;,&quot;-&quot;)"/>
    <hyperlink ref="H8" r:id="rId42" display="=@IF(G1&gt;H1,&quot;*&quot;,&quot;-&quot;)"/>
    <hyperlink ref="H9" r:id="rId43" display="=@IF(G1&gt;H1,&quot;*&quot;,&quot;-&quot;)"/>
    <hyperlink ref="H10" r:id="rId44" display="=@IF(G1&gt;H1,&quot;*&quot;,&quot;-&quot;)"/>
    <hyperlink ref="H11" r:id="rId45" display="=@IF(G1&gt;H1,&quot;*&quot;,&quot;-&quot;)"/>
    <hyperlink ref="H12" r:id="rId46" display="=@IF(G1&gt;H1,&quot;*&quot;,&quot;-&quot;)"/>
    <hyperlink ref="H13" r:id="rId47" display="=@IF(G1&gt;H1,&quot;*&quot;,&quot;-&quot;)"/>
    <hyperlink ref="H14" r:id="rId48" display="=@IF(G1&gt;H1,&quot;*&quot;,&quot;-&quot;)"/>
    <hyperlink ref="H16" r:id="rId49" display="=@IF(G1&gt;H1,&quot;*&quot;,&quot;-&quot;)"/>
    <hyperlink ref="H17" r:id="rId50" display="=@IF(G1&gt;H1,&quot;*&quot;,&quot;-&quot;)"/>
    <hyperlink ref="H18" r:id="rId51" display="=@IF(G1&gt;H1,&quot;*&quot;,&quot;-&quot;)"/>
    <hyperlink ref="H19" r:id="rId52" display="=@IF(G1&gt;H1,&quot;*&quot;,&quot;-&quot;)"/>
    <hyperlink ref="H15" r:id="rId53" display="=@IF(G1&gt;H1,&quot;*&quot;,&quot;-&quot;)"/>
  </hyperlinks>
  <printOptions gridLines="1"/>
  <pageMargins left="0.9448818897637796" right="0.35433070866141736" top="0.7874015748031497" bottom="0.3937007874015748" header="0" footer="0.5118110236220472"/>
  <pageSetup fitToHeight="1" fitToWidth="1" horizontalDpi="300" verticalDpi="300" orientation="landscape" paperSize="9" scale="96" r:id="rId55"/>
  <drawing r:id="rId54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1">
    <tabColor indexed="41"/>
    <pageSetUpPr fitToPage="1"/>
  </sheetPr>
  <dimension ref="A1:I95"/>
  <sheetViews>
    <sheetView zoomScale="85" zoomScaleNormal="85" workbookViewId="0" topLeftCell="A1">
      <selection activeCell="C17" sqref="C17"/>
    </sheetView>
  </sheetViews>
  <sheetFormatPr defaultColWidth="9.140625" defaultRowHeight="12.75"/>
  <cols>
    <col min="1" max="1" width="11.57421875" style="3" customWidth="1"/>
    <col min="2" max="2" width="24.00390625" style="0" customWidth="1"/>
    <col min="3" max="3" width="15.8515625" style="4" customWidth="1"/>
    <col min="4" max="4" width="5.8515625" style="0" customWidth="1"/>
    <col min="5" max="5" width="11.57421875" style="3" customWidth="1"/>
    <col min="6" max="6" width="22.8515625" style="0" bestFit="1" customWidth="1"/>
    <col min="7" max="7" width="15.8515625" style="0" bestFit="1" customWidth="1"/>
    <col min="8" max="8" width="11.57421875" style="0" bestFit="1" customWidth="1"/>
    <col min="9" max="9" width="15.71093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14</v>
      </c>
      <c r="B2" s="59" t="str">
        <f>Ref!B37</f>
        <v>R. Ahmet KURŞUN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39270</v>
      </c>
      <c r="B6" s="407" t="s">
        <v>315</v>
      </c>
      <c r="C6" s="409">
        <v>70</v>
      </c>
      <c r="D6" s="52"/>
      <c r="E6" s="3">
        <f>Ref!A8</f>
        <v>39239</v>
      </c>
      <c r="F6" s="3" t="str">
        <f>Ref!B8</f>
        <v>Devreden Borç</v>
      </c>
      <c r="G6" s="242">
        <v>70</v>
      </c>
      <c r="H6" s="217"/>
      <c r="I6" s="234">
        <f>SUM(G6:H6)</f>
        <v>70</v>
      </c>
    </row>
    <row r="7" spans="1:9" ht="12.75">
      <c r="A7" s="452">
        <v>39272</v>
      </c>
      <c r="B7" s="407" t="s">
        <v>346</v>
      </c>
      <c r="C7" s="409">
        <v>75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IF(Ref!$B$1&gt;=Ref!$A9,Ref!I9,0)</f>
        <v>75</v>
      </c>
      <c r="H7" s="236">
        <f>IF(Ref!$B$1&gt;=Ref!$A9,Ref!J9,0)</f>
        <v>0</v>
      </c>
      <c r="I7" s="234">
        <f>SUM(G7:H7)</f>
        <v>75</v>
      </c>
    </row>
    <row r="8" spans="1:9" ht="12.75">
      <c r="A8" s="452">
        <v>39299</v>
      </c>
      <c r="B8" s="407" t="s">
        <v>370</v>
      </c>
      <c r="C8" s="409">
        <v>75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IF(Ref!$B$1&gt;=Ref!$A10,Ref!I10,0)</f>
        <v>75</v>
      </c>
      <c r="H8" s="236">
        <f>IF(Ref!$B$1&gt;=Ref!$A10,Ref!J10,0)</f>
        <v>0</v>
      </c>
      <c r="I8" s="234">
        <f aca="true" t="shared" si="0" ref="I8:I19">SUM(G8:H8)</f>
        <v>75</v>
      </c>
    </row>
    <row r="9" spans="1:9" ht="12.75">
      <c r="A9" s="452">
        <v>39326</v>
      </c>
      <c r="B9" s="407" t="s">
        <v>392</v>
      </c>
      <c r="C9" s="409">
        <v>75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IF(Ref!$B$1&gt;=Ref!$A11,Ref!I11,0)</f>
        <v>75</v>
      </c>
      <c r="H9" s="236">
        <f>IF(Ref!$B$1&gt;=Ref!$A11,Ref!J11,0)</f>
        <v>0</v>
      </c>
      <c r="I9" s="234">
        <f t="shared" si="0"/>
        <v>75</v>
      </c>
    </row>
    <row r="10" spans="1:9" ht="12.75">
      <c r="A10" s="452">
        <v>39356</v>
      </c>
      <c r="B10" s="407" t="s">
        <v>419</v>
      </c>
      <c r="C10" s="409">
        <v>75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IF(Ref!$B$1&gt;=Ref!$A12,Ref!I12,0)</f>
        <v>75</v>
      </c>
      <c r="H10" s="236">
        <f>IF(Ref!$B$1&gt;=Ref!$A12,Ref!J12,0)</f>
        <v>0</v>
      </c>
      <c r="I10" s="234">
        <f t="shared" si="0"/>
        <v>75</v>
      </c>
    </row>
    <row r="11" spans="1:9" ht="12.75">
      <c r="A11" s="452">
        <v>39394</v>
      </c>
      <c r="B11" s="407" t="s">
        <v>452</v>
      </c>
      <c r="C11" s="409">
        <v>75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IF(Ref!$B$1&gt;=Ref!$A13,Ref!I13,0)</f>
        <v>75</v>
      </c>
      <c r="H11" s="236">
        <f>IF(Ref!$B$1&gt;=Ref!$A13,Ref!J13,0)</f>
        <v>0</v>
      </c>
      <c r="I11" s="234">
        <f t="shared" si="0"/>
        <v>75</v>
      </c>
    </row>
    <row r="12" spans="1:9" ht="12.75">
      <c r="A12" s="452">
        <v>39422</v>
      </c>
      <c r="B12" s="407" t="s">
        <v>480</v>
      </c>
      <c r="C12" s="409">
        <v>75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IF(Ref!$B$1&gt;=Ref!$A14,Ref!I14,0)</f>
        <v>75</v>
      </c>
      <c r="H12" s="236">
        <f>IF(Ref!$B$1&gt;=Ref!$A14,Ref!J14,0)</f>
        <v>0</v>
      </c>
      <c r="I12" s="234">
        <f t="shared" si="0"/>
        <v>75</v>
      </c>
    </row>
    <row r="13" spans="1:9" ht="12.75">
      <c r="A13" s="452">
        <v>39449</v>
      </c>
      <c r="B13" s="407" t="s">
        <v>500</v>
      </c>
      <c r="C13" s="409">
        <v>75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IF(Ref!$B$1&gt;=Ref!$A15,Ref!I15,0)</f>
        <v>75</v>
      </c>
      <c r="H13" s="236">
        <f>IF(Ref!$B$1&gt;=Ref!$A15,Ref!J15,0)</f>
        <v>0</v>
      </c>
      <c r="I13" s="234">
        <f t="shared" si="0"/>
        <v>75</v>
      </c>
    </row>
    <row r="14" spans="1:9" ht="12.75">
      <c r="A14" s="452">
        <v>39479</v>
      </c>
      <c r="B14" s="407" t="s">
        <v>516</v>
      </c>
      <c r="C14" s="409">
        <v>75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IF(Ref!$B$1&gt;=Ref!$A16,Ref!I16,0)</f>
        <v>75</v>
      </c>
      <c r="H14" s="236">
        <f>IF(Ref!$B$1&gt;=Ref!$A16,Ref!J16,0)</f>
        <v>0</v>
      </c>
      <c r="I14" s="234">
        <f t="shared" si="0"/>
        <v>75</v>
      </c>
    </row>
    <row r="15" spans="1:9" ht="12.75">
      <c r="A15" s="452">
        <v>39507</v>
      </c>
      <c r="B15" s="407" t="s">
        <v>538</v>
      </c>
      <c r="C15" s="409">
        <v>75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IF(Ref!$B$1&gt;=Ref!$A17,Ref!I17,0)</f>
        <v>75</v>
      </c>
      <c r="H15" s="236">
        <f>IF(Ref!$B$1&gt;=Ref!$A17,Ref!J17,0)</f>
        <v>0</v>
      </c>
      <c r="I15" s="234">
        <f t="shared" si="0"/>
        <v>75</v>
      </c>
    </row>
    <row r="16" spans="1:9" ht="12.75">
      <c r="A16" s="452">
        <v>39539</v>
      </c>
      <c r="B16" s="407" t="s">
        <v>577</v>
      </c>
      <c r="C16" s="409">
        <v>75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IF(Ref!$B$1&gt;=Ref!$A18,Ref!I18,0)</f>
        <v>75</v>
      </c>
      <c r="H16" s="236">
        <f>IF(Ref!$B$1&gt;=Ref!$A18,Ref!J18,0)</f>
        <v>0</v>
      </c>
      <c r="I16" s="234">
        <f t="shared" si="0"/>
        <v>75</v>
      </c>
    </row>
    <row r="17" spans="1:9" ht="12.75">
      <c r="A17" s="452">
        <v>39569</v>
      </c>
      <c r="B17" s="407" t="s">
        <v>603</v>
      </c>
      <c r="C17" s="409">
        <v>75</v>
      </c>
      <c r="D17" s="52"/>
      <c r="E17" s="3">
        <f>Ref!A19</f>
        <v>39569</v>
      </c>
      <c r="F17" s="3" t="str">
        <f>Ref!B19</f>
        <v>Mayıs-2008 Ödentisi</v>
      </c>
      <c r="G17" s="236">
        <f>IF(Ref!$B$1&gt;=Ref!$A19,Ref!I19,0)</f>
        <v>75</v>
      </c>
      <c r="H17" s="236">
        <f>IF(Ref!$B$1&gt;=Ref!$A19,Ref!J19,0)</f>
        <v>0</v>
      </c>
      <c r="I17" s="234">
        <f t="shared" si="0"/>
        <v>75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IF(Ref!$B$1&gt;=Ref!$A20,Ref!I20,0)</f>
        <v>0</v>
      </c>
      <c r="H18" s="236">
        <f>IF(Ref!$B$1&gt;=Ref!$A20,Ref!J20,0)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IF(Ref!$B$1&gt;=Ref!$A21,Ref!I21,0)</f>
        <v>0</v>
      </c>
      <c r="H19" s="236">
        <f>IF(Ref!$B$1&gt;=Ref!$A21,Ref!J21,0)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895</v>
      </c>
      <c r="D21" s="51"/>
      <c r="F21" s="8" t="s">
        <v>62</v>
      </c>
      <c r="G21" s="237">
        <f>SUM(G6:G19)</f>
        <v>895</v>
      </c>
      <c r="H21" s="237">
        <f>SUM(H6:H19)</f>
        <v>0</v>
      </c>
      <c r="I21" s="238">
        <f>SUM(I6:I20)</f>
        <v>895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IF(Ref!$B$1&lt;Ref!$A10,Ref!J10,"-")</f>
        <v>-</v>
      </c>
      <c r="C26" s="54"/>
      <c r="D26" s="29"/>
      <c r="E26" s="28"/>
      <c r="F26" s="96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IF(Ref!$B$1&lt;Ref!$A11,Ref!J11,"-")</f>
        <v>-</v>
      </c>
      <c r="C27" s="54"/>
      <c r="D27" s="29"/>
      <c r="E27" s="28"/>
      <c r="F27" s="247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IF(Ref!$B$1&lt;Ref!$A12,Ref!J12,"-")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IF(Ref!$B$1&lt;Ref!$A13,Ref!J13,"-")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IF(Ref!$B$1&lt;Ref!$A14,Ref!J14,"-")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IF(Ref!$B$1&lt;Ref!$A15,Ref!J15,"-")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IF(Ref!$B$1&lt;Ref!$A16,Ref!J16,"-")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IF(Ref!$B$1&lt;Ref!$A17,Ref!J17,"-")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IF(Ref!$B$1&lt;Ref!$A18,Ref!J18,"-")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IF(Ref!$B$1&lt;Ref!$A19,Ref!J19,"-")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IF(Ref!$B$1&lt;Ref!$A20,Ref!J20,"-")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IF(Ref!$B$1&lt;Ref!$A21,Ref!J21,"-")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9" r:id="rId45"/>
  <drawing r:id="rId44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2">
    <tabColor indexed="26"/>
    <pageSetUpPr fitToPage="1"/>
  </sheetPr>
  <dimension ref="A1:I95"/>
  <sheetViews>
    <sheetView zoomScale="85" zoomScaleNormal="85" workbookViewId="0" topLeftCell="A1">
      <selection activeCell="C13" sqref="C13"/>
    </sheetView>
  </sheetViews>
  <sheetFormatPr defaultColWidth="9.140625" defaultRowHeight="12.75"/>
  <cols>
    <col min="1" max="1" width="11.57421875" style="3" customWidth="1"/>
    <col min="2" max="2" width="24.00390625" style="0" customWidth="1"/>
    <col min="3" max="3" width="15.8515625" style="4" customWidth="1"/>
    <col min="4" max="4" width="5.8515625" style="0" customWidth="1"/>
    <col min="5" max="5" width="11.57421875" style="3" customWidth="1"/>
    <col min="6" max="6" width="20.421875" style="0" bestFit="1" customWidth="1"/>
    <col min="7" max="7" width="15.8515625" style="0" bestFit="1" customWidth="1"/>
    <col min="8" max="8" width="11.57421875" style="0" bestFit="1" customWidth="1"/>
    <col min="9" max="9" width="15.71093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16</v>
      </c>
      <c r="B2" s="61" t="str">
        <f>Ref!B38</f>
        <v>Rümeysa ALTUNAY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39268</v>
      </c>
      <c r="B6" s="466" t="s">
        <v>445</v>
      </c>
      <c r="C6" s="409">
        <v>40</v>
      </c>
      <c r="D6" s="52"/>
      <c r="E6" s="3">
        <f>Ref!A8</f>
        <v>39239</v>
      </c>
      <c r="F6" s="3" t="str">
        <f>Ref!B7</f>
        <v>Devreden Alacak</v>
      </c>
      <c r="G6" s="510">
        <v>0</v>
      </c>
      <c r="H6" s="217"/>
      <c r="I6" s="234">
        <f>SUM(G6:H6)</f>
        <v>0</v>
      </c>
    </row>
    <row r="7" spans="1:9" ht="12.75">
      <c r="A7" s="452">
        <v>39371</v>
      </c>
      <c r="B7" s="466" t="s">
        <v>435</v>
      </c>
      <c r="C7" s="409">
        <v>80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IF(Ref!$B$1&gt;=Ref!$A9,Ref!G9,0)</f>
        <v>40</v>
      </c>
      <c r="H7" s="236">
        <f>IF(Ref!$B$1&gt;=Ref!$A9,Ref!H9,0)</f>
        <v>0</v>
      </c>
      <c r="I7" s="234">
        <f>SUM(G7:H7)</f>
        <v>40</v>
      </c>
    </row>
    <row r="8" spans="1:9" ht="12.75">
      <c r="A8" s="452">
        <v>39381</v>
      </c>
      <c r="B8" s="466" t="s">
        <v>446</v>
      </c>
      <c r="C8" s="409">
        <v>40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IF(Ref!$B$1&gt;=Ref!$A10,Ref!G10,0)</f>
        <v>40</v>
      </c>
      <c r="H8" s="236">
        <f>IF(Ref!$B$1&gt;=Ref!$A10,Ref!H10,0)</f>
        <v>0</v>
      </c>
      <c r="I8" s="234">
        <f aca="true" t="shared" si="0" ref="I8:I19">SUM(G8:H8)</f>
        <v>40</v>
      </c>
    </row>
    <row r="9" spans="1:9" ht="12.75">
      <c r="A9" s="452">
        <v>39395</v>
      </c>
      <c r="B9" s="466" t="s">
        <v>456</v>
      </c>
      <c r="C9" s="409">
        <v>40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IF(Ref!$B$1&gt;=Ref!$A11,Ref!G11,0)</f>
        <v>40</v>
      </c>
      <c r="H9" s="236">
        <f>IF(Ref!$B$1&gt;=Ref!$A11,Ref!H11,0)</f>
        <v>0</v>
      </c>
      <c r="I9" s="234">
        <f t="shared" si="0"/>
        <v>40</v>
      </c>
    </row>
    <row r="10" spans="1:9" ht="12.75">
      <c r="A10" s="452">
        <v>39419</v>
      </c>
      <c r="B10" s="466" t="s">
        <v>474</v>
      </c>
      <c r="C10" s="409">
        <v>40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IF(Ref!$B$1&gt;=Ref!$A12,Ref!G12,0)</f>
        <v>40</v>
      </c>
      <c r="H10" s="236">
        <f>IF(Ref!$B$1&gt;=Ref!$A12,Ref!H12,0)</f>
        <v>0</v>
      </c>
      <c r="I10" s="234">
        <f t="shared" si="0"/>
        <v>40</v>
      </c>
    </row>
    <row r="11" spans="1:9" ht="12.75">
      <c r="A11" s="452">
        <v>39534</v>
      </c>
      <c r="B11" s="466" t="s">
        <v>599</v>
      </c>
      <c r="C11" s="409">
        <v>120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IF(Ref!$B$1&gt;=Ref!$A13,Ref!G13,0)</f>
        <v>40</v>
      </c>
      <c r="H11" s="236">
        <f>IF(Ref!$B$1&gt;=Ref!$A13,Ref!H13,0)</f>
        <v>0</v>
      </c>
      <c r="I11" s="234">
        <f t="shared" si="0"/>
        <v>40</v>
      </c>
    </row>
    <row r="12" spans="1:9" ht="12.75">
      <c r="A12" s="452">
        <v>39568</v>
      </c>
      <c r="B12" s="466" t="s">
        <v>600</v>
      </c>
      <c r="C12" s="409">
        <v>40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IF(Ref!$B$1&gt;=Ref!$A14,Ref!G14,0)</f>
        <v>40</v>
      </c>
      <c r="H12" s="236">
        <f>IF(Ref!$B$1&gt;=Ref!$A14,Ref!H14,0)</f>
        <v>0</v>
      </c>
      <c r="I12" s="234">
        <f t="shared" si="0"/>
        <v>40</v>
      </c>
    </row>
    <row r="13" spans="1:9" ht="12.75">
      <c r="A13" s="452">
        <v>39596</v>
      </c>
      <c r="B13" s="466" t="s">
        <v>623</v>
      </c>
      <c r="C13" s="409">
        <v>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IF(Ref!$B$1&gt;=Ref!$A15,Ref!G15,0)</f>
        <v>40</v>
      </c>
      <c r="H13" s="236">
        <f>IF(Ref!$B$1&gt;=Ref!$A15,Ref!H15,0)</f>
        <v>0</v>
      </c>
      <c r="I13" s="234">
        <f t="shared" si="0"/>
        <v>40</v>
      </c>
    </row>
    <row r="14" spans="1:9" ht="12.75">
      <c r="A14" s="452"/>
      <c r="B14" s="466"/>
      <c r="C14" s="409"/>
      <c r="D14" s="52"/>
      <c r="E14" s="3">
        <f>Ref!A16</f>
        <v>39479</v>
      </c>
      <c r="F14" s="3" t="str">
        <f>Ref!B16</f>
        <v>Şubat-2008 Ödentisi</v>
      </c>
      <c r="G14" s="236">
        <f>IF(Ref!$B$1&gt;=Ref!$A16,Ref!G16,0)</f>
        <v>40</v>
      </c>
      <c r="H14" s="236">
        <f>IF(Ref!$B$1&gt;=Ref!$A16,Ref!H16,0)</f>
        <v>0</v>
      </c>
      <c r="I14" s="234">
        <f t="shared" si="0"/>
        <v>40</v>
      </c>
    </row>
    <row r="15" spans="1:9" ht="12.75">
      <c r="A15" s="452"/>
      <c r="B15" s="466"/>
      <c r="C15" s="409"/>
      <c r="D15" s="52"/>
      <c r="E15" s="3">
        <f>Ref!A17</f>
        <v>39508</v>
      </c>
      <c r="F15" s="3" t="str">
        <f>Ref!B17</f>
        <v>Mart-2008 Ödentisi</v>
      </c>
      <c r="G15" s="236">
        <f>IF(Ref!$B$1&gt;=Ref!$A17,Ref!G17,0)</f>
        <v>40</v>
      </c>
      <c r="H15" s="236">
        <f>IF(Ref!$B$1&gt;=Ref!$A17,Ref!H17,0)</f>
        <v>0</v>
      </c>
      <c r="I15" s="234">
        <f t="shared" si="0"/>
        <v>40</v>
      </c>
    </row>
    <row r="16" spans="1:9" ht="12.75">
      <c r="A16" s="452"/>
      <c r="B16" s="466"/>
      <c r="C16" s="409"/>
      <c r="D16" s="52"/>
      <c r="E16" s="3">
        <f>Ref!A18</f>
        <v>39539</v>
      </c>
      <c r="F16" s="3" t="str">
        <f>Ref!B18</f>
        <v>Nisan-2008 Ödentisi</v>
      </c>
      <c r="G16" s="236">
        <f>IF(Ref!$B$1&gt;=Ref!$A18,Ref!G18,0)</f>
        <v>40</v>
      </c>
      <c r="H16" s="236">
        <f>IF(Ref!$B$1&gt;=Ref!$A18,Ref!H18,0)</f>
        <v>0</v>
      </c>
      <c r="I16" s="234">
        <f t="shared" si="0"/>
        <v>40</v>
      </c>
    </row>
    <row r="17" spans="1:9" ht="12.75">
      <c r="A17" s="452"/>
      <c r="B17" s="466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IF(Ref!$B$1&gt;=Ref!$A19,Ref!G19,0)</f>
        <v>40</v>
      </c>
      <c r="H17" s="236">
        <f>IF(Ref!$B$1&gt;=Ref!$A19,Ref!H19,0)</f>
        <v>0</v>
      </c>
      <c r="I17" s="234">
        <f t="shared" si="0"/>
        <v>40</v>
      </c>
    </row>
    <row r="18" spans="1:9" ht="12.75">
      <c r="A18" s="452"/>
      <c r="B18" s="466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IF(Ref!$B$1&gt;=Ref!$A20,Ref!G20,0)</f>
        <v>0</v>
      </c>
      <c r="H18" s="236">
        <f>IF(Ref!$B$1&gt;=Ref!$A20,Ref!H20,0)</f>
        <v>0</v>
      </c>
      <c r="I18" s="234">
        <f t="shared" si="0"/>
        <v>0</v>
      </c>
    </row>
    <row r="19" spans="1:9" ht="12.75">
      <c r="A19" s="452"/>
      <c r="B19" s="466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IF(Ref!$B$1&gt;=Ref!$A21,Ref!G21,0)</f>
        <v>0</v>
      </c>
      <c r="H19" s="236">
        <f>IF(Ref!$B$1&gt;=Ref!$A21,Ref!H21,0)</f>
        <v>0</v>
      </c>
      <c r="I19" s="234">
        <f t="shared" si="0"/>
        <v>0</v>
      </c>
    </row>
    <row r="20" spans="1:9" ht="13.5" thickBot="1">
      <c r="A20" s="452"/>
      <c r="B20" s="466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440</v>
      </c>
      <c r="D21" s="51"/>
      <c r="F21" s="8" t="s">
        <v>62</v>
      </c>
      <c r="G21" s="237">
        <f>SUM(G6:G19)</f>
        <v>440</v>
      </c>
      <c r="H21" s="237">
        <f>SUM(H6:H19)</f>
        <v>0</v>
      </c>
      <c r="I21" s="238">
        <f>SUM(I6:I20)</f>
        <v>440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IF(Ref!$B$1&lt;Ref!$A10,Ref!H10,"-")</f>
        <v>-</v>
      </c>
      <c r="C26" s="54"/>
      <c r="D26" s="29"/>
      <c r="E26" s="28"/>
      <c r="F26" s="96" t="str">
        <f>IF((C21-I21)&gt;0,"ALACAK BAKİYESİ :","BORÇ BAKİYESİ :")</f>
        <v>BORÇ BAKİYESİ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IF(Ref!$B$1&lt;Ref!$A11,Ref!H11,"-")</f>
        <v>-</v>
      </c>
      <c r="C27" s="54"/>
      <c r="D27" s="29"/>
      <c r="E27" s="28"/>
      <c r="F27" s="247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IF(Ref!$B$1&lt;Ref!$A12,Ref!H12,"-")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IF(Ref!$B$1&lt;Ref!$A13,Ref!H13,"-")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IF(Ref!$B$1&lt;Ref!$A14,Ref!H14,"-")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IF(Ref!$B$1&lt;Ref!$A15,Ref!H15,"-")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IF(Ref!$B$1&lt;Ref!$A16,Ref!H16,"-")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IF(Ref!$B$1&lt;Ref!$A17,Ref!H17,"-")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IF(Ref!$B$1&lt;Ref!$A18,Ref!H18,"-")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IF(Ref!$B$1&lt;Ref!$A19,Ref!H19,"-")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IF(Ref!$B$1&lt;Ref!$A20,Ref!H20,"-")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IF(Ref!$B$1&lt;Ref!$A21,Ref!H21,"-")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7" r:id="rId45"/>
  <drawing r:id="rId44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3">
    <tabColor indexed="26"/>
    <pageSetUpPr fitToPage="1"/>
  </sheetPr>
  <dimension ref="A1:I95"/>
  <sheetViews>
    <sheetView zoomScale="85" zoomScaleNormal="85" workbookViewId="0" topLeftCell="A1">
      <selection activeCell="D14" sqref="D14"/>
    </sheetView>
  </sheetViews>
  <sheetFormatPr defaultColWidth="9.140625" defaultRowHeight="12.75"/>
  <cols>
    <col min="1" max="1" width="11.57421875" style="3" customWidth="1"/>
    <col min="2" max="2" width="24.00390625" style="0" customWidth="1"/>
    <col min="3" max="3" width="15.8515625" style="4" customWidth="1"/>
    <col min="4" max="4" width="5.8515625" style="0" customWidth="1"/>
    <col min="5" max="5" width="11.57421875" style="3" customWidth="1"/>
    <col min="6" max="6" width="20.421875" style="0" bestFit="1" customWidth="1"/>
    <col min="7" max="7" width="15.8515625" style="0" bestFit="1" customWidth="1"/>
    <col min="8" max="8" width="11.57421875" style="0" bestFit="1" customWidth="1"/>
    <col min="9" max="9" width="18.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 t="s">
        <v>73</v>
      </c>
      <c r="B2" s="70" t="str">
        <f>Ref!B39</f>
        <v>ER-SEL Ticaret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39354</v>
      </c>
      <c r="B6" s="407" t="s">
        <v>415</v>
      </c>
      <c r="C6" s="409">
        <v>320</v>
      </c>
      <c r="D6" s="52"/>
      <c r="E6" s="3">
        <f>Ref!A8</f>
        <v>39239</v>
      </c>
      <c r="F6" s="3" t="str">
        <f>Ref!B8</f>
        <v>Devreden Borç</v>
      </c>
      <c r="G6" s="242">
        <v>200</v>
      </c>
      <c r="H6" s="217"/>
      <c r="I6" s="234">
        <f>SUM(G6:H6)</f>
        <v>200</v>
      </c>
    </row>
    <row r="7" spans="1:9" ht="12.75">
      <c r="A7" s="452">
        <v>39370</v>
      </c>
      <c r="B7" s="407" t="s">
        <v>434</v>
      </c>
      <c r="C7" s="409">
        <v>40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IF(Ref!$B$1&gt;=Ref!$A9,Ref!G9,0)</f>
        <v>40</v>
      </c>
      <c r="H7" s="236">
        <f>IF(Ref!$B$1&gt;=Ref!$A9,Ref!H9,0)</f>
        <v>0</v>
      </c>
      <c r="I7" s="234">
        <f>SUM(G7:H7)</f>
        <v>40</v>
      </c>
    </row>
    <row r="8" spans="1:9" ht="12.75">
      <c r="A8" s="452">
        <v>39394</v>
      </c>
      <c r="B8" s="407" t="s">
        <v>454</v>
      </c>
      <c r="C8" s="409">
        <v>40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IF(Ref!$B$1&gt;=Ref!$A10,Ref!G10,0)</f>
        <v>40</v>
      </c>
      <c r="H8" s="236">
        <f>IF(Ref!$B$1&gt;=Ref!$A10,Ref!H10,0)</f>
        <v>0</v>
      </c>
      <c r="I8" s="234">
        <f aca="true" t="shared" si="0" ref="I8:I19">SUM(G8:H8)</f>
        <v>40</v>
      </c>
    </row>
    <row r="9" spans="1:9" ht="12.75">
      <c r="A9" s="452">
        <v>39439</v>
      </c>
      <c r="B9" s="407" t="s">
        <v>489</v>
      </c>
      <c r="C9" s="409">
        <v>40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IF(Ref!$B$1&gt;=Ref!$A11,Ref!G11,0)</f>
        <v>40</v>
      </c>
      <c r="H9" s="236">
        <f>IF(Ref!$B$1&gt;=Ref!$A11,Ref!H11,0)</f>
        <v>0</v>
      </c>
      <c r="I9" s="234">
        <f t="shared" si="0"/>
        <v>40</v>
      </c>
    </row>
    <row r="10" spans="1:9" ht="12.75">
      <c r="A10" s="452">
        <v>39450</v>
      </c>
      <c r="B10" s="407" t="s">
        <v>502</v>
      </c>
      <c r="C10" s="409">
        <v>40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IF(Ref!$B$1&gt;=Ref!$A12,Ref!G12,0)</f>
        <v>40</v>
      </c>
      <c r="H10" s="236">
        <f>IF(Ref!$B$1&gt;=Ref!$A12,Ref!H12,0)</f>
        <v>0</v>
      </c>
      <c r="I10" s="234">
        <f t="shared" si="0"/>
        <v>40</v>
      </c>
    </row>
    <row r="11" spans="1:9" ht="12.75">
      <c r="A11" s="452">
        <v>39479</v>
      </c>
      <c r="B11" s="407" t="s">
        <v>541</v>
      </c>
      <c r="C11" s="409">
        <v>40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IF(Ref!$B$1&gt;=Ref!$A13,Ref!G13,0)</f>
        <v>40</v>
      </c>
      <c r="H11" s="236">
        <f>IF(Ref!$B$1&gt;=Ref!$A13,Ref!H13,0)</f>
        <v>0</v>
      </c>
      <c r="I11" s="234">
        <f t="shared" si="0"/>
        <v>40</v>
      </c>
    </row>
    <row r="12" spans="1:9" ht="12.75">
      <c r="A12" s="452">
        <v>39507</v>
      </c>
      <c r="B12" s="407" t="s">
        <v>540</v>
      </c>
      <c r="C12" s="409">
        <v>40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IF(Ref!$B$1&gt;=Ref!$A14,Ref!G14,0)</f>
        <v>40</v>
      </c>
      <c r="H12" s="236">
        <f>IF(Ref!$B$1&gt;=Ref!$A14,Ref!H14,0)</f>
        <v>0</v>
      </c>
      <c r="I12" s="234">
        <f t="shared" si="0"/>
        <v>40</v>
      </c>
    </row>
    <row r="13" spans="1:9" ht="12.75">
      <c r="A13" s="452">
        <v>39539</v>
      </c>
      <c r="B13" s="407" t="s">
        <v>579</v>
      </c>
      <c r="C13" s="409">
        <v>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IF(Ref!$B$1&gt;=Ref!$A15,Ref!G15,0)</f>
        <v>40</v>
      </c>
      <c r="H13" s="236">
        <f>IF(Ref!$B$1&gt;=Ref!$A15,Ref!H15,0)</f>
        <v>0</v>
      </c>
      <c r="I13" s="234">
        <f t="shared" si="0"/>
        <v>40</v>
      </c>
    </row>
    <row r="14" spans="1:9" ht="12.75">
      <c r="A14" s="452">
        <v>39573</v>
      </c>
      <c r="B14" s="407" t="s">
        <v>609</v>
      </c>
      <c r="C14" s="465">
        <v>40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IF(Ref!$B$1&gt;=Ref!$A16,Ref!G16,0)</f>
        <v>40</v>
      </c>
      <c r="H14" s="236">
        <f>IF(Ref!$B$1&gt;=Ref!$A16,Ref!H16,0)</f>
        <v>0</v>
      </c>
      <c r="I14" s="234">
        <f t="shared" si="0"/>
        <v>40</v>
      </c>
    </row>
    <row r="15" spans="1:9" ht="12.75">
      <c r="A15" s="452"/>
      <c r="B15" s="407"/>
      <c r="C15" s="465"/>
      <c r="D15" s="52"/>
      <c r="E15" s="3">
        <f>Ref!A17</f>
        <v>39508</v>
      </c>
      <c r="F15" s="3" t="str">
        <f>Ref!B17</f>
        <v>Mart-2008 Ödentisi</v>
      </c>
      <c r="G15" s="236">
        <f>IF(Ref!$B$1&gt;=Ref!$A17,Ref!G17,0)</f>
        <v>40</v>
      </c>
      <c r="H15" s="236">
        <f>IF(Ref!$B$1&gt;=Ref!$A17,Ref!H17,0)</f>
        <v>0</v>
      </c>
      <c r="I15" s="234">
        <f t="shared" si="0"/>
        <v>40</v>
      </c>
    </row>
    <row r="16" spans="1:9" ht="12.75">
      <c r="A16" s="452"/>
      <c r="B16" s="407"/>
      <c r="C16" s="465"/>
      <c r="D16" s="52"/>
      <c r="E16" s="3">
        <f>Ref!A18</f>
        <v>39539</v>
      </c>
      <c r="F16" s="3" t="str">
        <f>Ref!B18</f>
        <v>Nisan-2008 Ödentisi</v>
      </c>
      <c r="G16" s="236">
        <f>IF(Ref!$B$1&gt;=Ref!$A18,Ref!G18,0)</f>
        <v>40</v>
      </c>
      <c r="H16" s="236">
        <f>IF(Ref!$B$1&gt;=Ref!$A18,Ref!H18,0)</f>
        <v>0</v>
      </c>
      <c r="I16" s="234">
        <f t="shared" si="0"/>
        <v>40</v>
      </c>
    </row>
    <row r="17" spans="1:9" ht="12.75">
      <c r="A17" s="452"/>
      <c r="B17" s="407"/>
      <c r="C17" s="465"/>
      <c r="D17" s="52"/>
      <c r="E17" s="3">
        <f>Ref!A19</f>
        <v>39569</v>
      </c>
      <c r="F17" s="3" t="str">
        <f>Ref!B19</f>
        <v>Mayıs-2008 Ödentisi</v>
      </c>
      <c r="G17" s="236">
        <f>IF(Ref!$B$1&gt;=Ref!$A19,Ref!G19,0)</f>
        <v>40</v>
      </c>
      <c r="H17" s="236">
        <f>IF(Ref!$B$1&gt;=Ref!$A19,Ref!H19,0)</f>
        <v>0</v>
      </c>
      <c r="I17" s="234">
        <f t="shared" si="0"/>
        <v>40</v>
      </c>
    </row>
    <row r="18" spans="1:9" ht="12.75">
      <c r="A18" s="452"/>
      <c r="B18" s="407"/>
      <c r="C18" s="465"/>
      <c r="D18" s="52"/>
      <c r="E18" s="3">
        <f>Ref!A20</f>
        <v>39600</v>
      </c>
      <c r="F18" s="3" t="str">
        <f>Ref!B20</f>
        <v>Haziran-2008 Ödentisi</v>
      </c>
      <c r="G18" s="236">
        <f>IF(Ref!$B$1&gt;=Ref!$A20,Ref!G20,0)</f>
        <v>0</v>
      </c>
      <c r="H18" s="236">
        <f>IF(Ref!$B$1&gt;=Ref!$A20,Ref!H20,0)</f>
        <v>0</v>
      </c>
      <c r="I18" s="234">
        <f t="shared" si="0"/>
        <v>0</v>
      </c>
    </row>
    <row r="19" spans="1:9" ht="12.75">
      <c r="A19" s="452"/>
      <c r="B19" s="407"/>
      <c r="C19" s="465"/>
      <c r="D19" s="52"/>
      <c r="E19" s="3">
        <f>Ref!A21</f>
        <v>39630</v>
      </c>
      <c r="F19" s="3" t="str">
        <f>Ref!B21</f>
        <v>Temmuz-2008 Ödentisi</v>
      </c>
      <c r="G19" s="236">
        <f>IF(Ref!$B$1&gt;=Ref!$A21,Ref!G21,0)</f>
        <v>0</v>
      </c>
      <c r="H19" s="236">
        <f>IF(Ref!$B$1&gt;=Ref!$A21,Ref!H21,0)</f>
        <v>0</v>
      </c>
      <c r="I19" s="234">
        <f t="shared" si="0"/>
        <v>0</v>
      </c>
    </row>
    <row r="20" spans="1:9" ht="13.5" thickBot="1">
      <c r="A20" s="452"/>
      <c r="B20" s="407"/>
      <c r="C20" s="465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640</v>
      </c>
      <c r="D21" s="51"/>
      <c r="F21" s="8" t="s">
        <v>62</v>
      </c>
      <c r="G21" s="237">
        <f>SUM(G6:G19)</f>
        <v>640</v>
      </c>
      <c r="H21" s="237">
        <f>SUM(H6:H19)</f>
        <v>0</v>
      </c>
      <c r="I21" s="238">
        <f>SUM(I6:I20)</f>
        <v>640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IF(Ref!$B$1&lt;Ref!$A10,Ref!H10,"-")</f>
        <v>-</v>
      </c>
      <c r="C26" s="54"/>
      <c r="D26" s="29"/>
      <c r="E26" s="28"/>
      <c r="F26" s="96" t="str">
        <f>IF((C21-I21)&gt;0,"ALACAK BAKİYESİ :","BORÇ BAKİYESİ :")</f>
        <v>BORÇ BAKİYESİ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IF(Ref!$B$1&lt;Ref!$A11,Ref!H11,"-")</f>
        <v>-</v>
      </c>
      <c r="C27" s="54"/>
      <c r="D27" s="29"/>
      <c r="E27" s="28"/>
      <c r="F27" s="247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IF(Ref!$B$1&lt;Ref!$A12,Ref!H12,"-")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IF(Ref!$B$1&lt;Ref!$A13,Ref!H13,"-")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IF(Ref!$B$1&lt;Ref!$A14,Ref!H14,"-")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IF(Ref!$B$1&lt;Ref!$A15,Ref!H15,"-")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IF(Ref!$B$1&lt;Ref!$A16,Ref!H16,"-")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IF(Ref!$B$1&lt;Ref!$A17,Ref!H17,"-")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IF(Ref!$B$1&lt;Ref!$A18,Ref!H18,"-")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IF(Ref!$B$1&lt;Ref!$A19,Ref!H19,"-")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IF(Ref!$B$1&lt;Ref!$A20,Ref!H20,"-")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IF(Ref!$B$1&lt;Ref!$A21,Ref!H21,"-")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9" r:id="rId45"/>
  <drawing r:id="rId44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ayfa24">
    <tabColor indexed="26"/>
    <pageSetUpPr fitToPage="1"/>
  </sheetPr>
  <dimension ref="A1:I95"/>
  <sheetViews>
    <sheetView zoomScale="85" zoomScaleNormal="85" workbookViewId="0" topLeftCell="A1">
      <selection activeCell="C17" sqref="C17"/>
    </sheetView>
  </sheetViews>
  <sheetFormatPr defaultColWidth="9.140625" defaultRowHeight="12.75"/>
  <cols>
    <col min="1" max="1" width="11.57421875" style="3" customWidth="1"/>
    <col min="2" max="2" width="24.57421875" style="0" customWidth="1"/>
    <col min="3" max="3" width="15.8515625" style="4" customWidth="1"/>
    <col min="4" max="4" width="5.8515625" style="0" customWidth="1"/>
    <col min="5" max="5" width="11.57421875" style="3" customWidth="1"/>
    <col min="6" max="6" width="22.8515625" style="0" bestFit="1" customWidth="1"/>
    <col min="7" max="7" width="15.8515625" style="0" bestFit="1" customWidth="1"/>
    <col min="8" max="8" width="11.57421875" style="0" bestFit="1" customWidth="1"/>
    <col min="9" max="9" width="16.57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 t="s">
        <v>74</v>
      </c>
      <c r="B2" s="70" t="str">
        <f>Ref!B40</f>
        <v>Ahmet ATAKAN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39270</v>
      </c>
      <c r="B6" s="407" t="s">
        <v>315</v>
      </c>
      <c r="C6" s="409">
        <v>35</v>
      </c>
      <c r="D6" s="52"/>
      <c r="E6" s="3">
        <f>Ref!A8</f>
        <v>39239</v>
      </c>
      <c r="F6" s="3" t="str">
        <f>Ref!B8</f>
        <v>Devreden Borç</v>
      </c>
      <c r="G6" s="242">
        <v>35</v>
      </c>
      <c r="H6" s="217"/>
      <c r="I6" s="234">
        <f>SUM(G6:H6)</f>
        <v>35</v>
      </c>
    </row>
    <row r="7" spans="1:9" ht="12.75">
      <c r="A7" s="452">
        <v>39272</v>
      </c>
      <c r="B7" s="407" t="s">
        <v>346</v>
      </c>
      <c r="C7" s="409">
        <v>40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IF(Ref!$B$1&gt;=Ref!$A9,Ref!G9,0)</f>
        <v>40</v>
      </c>
      <c r="H7" s="236">
        <f>IF(Ref!$B$1&gt;=Ref!$A9,Ref!H9,0)</f>
        <v>0</v>
      </c>
      <c r="I7" s="234">
        <f>SUM(G7:H7)</f>
        <v>40</v>
      </c>
    </row>
    <row r="8" spans="1:9" ht="12.75">
      <c r="A8" s="452">
        <v>39299</v>
      </c>
      <c r="B8" s="407" t="s">
        <v>370</v>
      </c>
      <c r="C8" s="409">
        <v>40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IF(Ref!$B$1&gt;=Ref!$A10,Ref!G10,0)</f>
        <v>40</v>
      </c>
      <c r="H8" s="236">
        <f>IF(Ref!$B$1&gt;=Ref!$A10,Ref!H10,0)</f>
        <v>0</v>
      </c>
      <c r="I8" s="234">
        <f aca="true" t="shared" si="0" ref="I8:I19">SUM(G8:H8)</f>
        <v>40</v>
      </c>
    </row>
    <row r="9" spans="1:9" ht="12.75">
      <c r="A9" s="452">
        <v>39326</v>
      </c>
      <c r="B9" s="407" t="s">
        <v>392</v>
      </c>
      <c r="C9" s="409">
        <v>40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IF(Ref!$B$1&gt;=Ref!$A11,Ref!G11,0)</f>
        <v>40</v>
      </c>
      <c r="H9" s="236">
        <f>IF(Ref!$B$1&gt;=Ref!$A11,Ref!H11,0)</f>
        <v>0</v>
      </c>
      <c r="I9" s="234">
        <f t="shared" si="0"/>
        <v>40</v>
      </c>
    </row>
    <row r="10" spans="1:9" ht="12.75">
      <c r="A10" s="452">
        <v>39356</v>
      </c>
      <c r="B10" s="407" t="s">
        <v>419</v>
      </c>
      <c r="C10" s="409">
        <v>40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IF(Ref!$B$1&gt;=Ref!$A12,Ref!G12,0)</f>
        <v>40</v>
      </c>
      <c r="H10" s="236">
        <f>IF(Ref!$B$1&gt;=Ref!$A12,Ref!H12,0)</f>
        <v>0</v>
      </c>
      <c r="I10" s="234">
        <f t="shared" si="0"/>
        <v>40</v>
      </c>
    </row>
    <row r="11" spans="1:9" ht="12.75">
      <c r="A11" s="452">
        <v>39394</v>
      </c>
      <c r="B11" s="407" t="s">
        <v>452</v>
      </c>
      <c r="C11" s="409">
        <v>40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IF(Ref!$B$1&gt;=Ref!$A13,Ref!G13,0)</f>
        <v>40</v>
      </c>
      <c r="H11" s="236">
        <f>IF(Ref!$B$1&gt;=Ref!$A13,Ref!H13,0)</f>
        <v>0</v>
      </c>
      <c r="I11" s="234">
        <f t="shared" si="0"/>
        <v>40</v>
      </c>
    </row>
    <row r="12" spans="1:9" ht="12.75">
      <c r="A12" s="452">
        <v>39422</v>
      </c>
      <c r="B12" s="407" t="s">
        <v>480</v>
      </c>
      <c r="C12" s="409">
        <v>40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IF(Ref!$B$1&gt;=Ref!$A14,Ref!G14,0)</f>
        <v>40</v>
      </c>
      <c r="H12" s="236">
        <f>IF(Ref!$B$1&gt;=Ref!$A14,Ref!H14,0)</f>
        <v>0</v>
      </c>
      <c r="I12" s="234">
        <f t="shared" si="0"/>
        <v>40</v>
      </c>
    </row>
    <row r="13" spans="1:9" ht="12.75">
      <c r="A13" s="452">
        <v>39450</v>
      </c>
      <c r="B13" s="407" t="s">
        <v>500</v>
      </c>
      <c r="C13" s="409">
        <v>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IF(Ref!$B$1&gt;=Ref!$A15,Ref!G15,0)</f>
        <v>40</v>
      </c>
      <c r="H13" s="236">
        <f>IF(Ref!$B$1&gt;=Ref!$A15,Ref!H15,0)</f>
        <v>0</v>
      </c>
      <c r="I13" s="234">
        <f t="shared" si="0"/>
        <v>40</v>
      </c>
    </row>
    <row r="14" spans="1:9" ht="12.75">
      <c r="A14" s="452">
        <v>39479</v>
      </c>
      <c r="B14" s="407" t="s">
        <v>516</v>
      </c>
      <c r="C14" s="409">
        <v>40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IF(Ref!$B$1&gt;=Ref!$A16,Ref!G16,0)</f>
        <v>40</v>
      </c>
      <c r="H14" s="236">
        <f>IF(Ref!$B$1&gt;=Ref!$A16,Ref!H16,0)</f>
        <v>0</v>
      </c>
      <c r="I14" s="234">
        <f t="shared" si="0"/>
        <v>40</v>
      </c>
    </row>
    <row r="15" spans="1:9" ht="12.75">
      <c r="A15" s="452">
        <v>39507</v>
      </c>
      <c r="B15" s="407" t="s">
        <v>538</v>
      </c>
      <c r="C15" s="409">
        <v>40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IF(Ref!$B$1&gt;=Ref!$A17,Ref!G17,0)</f>
        <v>40</v>
      </c>
      <c r="H15" s="236">
        <f>IF(Ref!$B$1&gt;=Ref!$A17,Ref!H17,0)</f>
        <v>0</v>
      </c>
      <c r="I15" s="234">
        <f t="shared" si="0"/>
        <v>40</v>
      </c>
    </row>
    <row r="16" spans="1:9" ht="12.75">
      <c r="A16" s="452">
        <v>39539</v>
      </c>
      <c r="B16" s="407" t="s">
        <v>577</v>
      </c>
      <c r="C16" s="409">
        <v>40</v>
      </c>
      <c r="D16" s="52"/>
      <c r="E16" s="3">
        <f>Ref!A18</f>
        <v>39539</v>
      </c>
      <c r="F16" s="3" t="str">
        <f>Ref!B18</f>
        <v>Nisan-2008 Ödentisi</v>
      </c>
      <c r="G16" s="236">
        <f>IF(Ref!$B$1&gt;=Ref!$A18,Ref!G18,0)</f>
        <v>40</v>
      </c>
      <c r="H16" s="236">
        <f>IF(Ref!$B$1&gt;=Ref!$A18,Ref!H18,0)</f>
        <v>0</v>
      </c>
      <c r="I16" s="234">
        <f t="shared" si="0"/>
        <v>40</v>
      </c>
    </row>
    <row r="17" spans="1:9" ht="12.75">
      <c r="A17" s="452">
        <v>39569</v>
      </c>
      <c r="B17" s="407" t="s">
        <v>603</v>
      </c>
      <c r="C17" s="409">
        <v>40</v>
      </c>
      <c r="D17" s="52"/>
      <c r="E17" s="3">
        <f>Ref!A19</f>
        <v>39569</v>
      </c>
      <c r="F17" s="3" t="str">
        <f>Ref!B19</f>
        <v>Mayıs-2008 Ödentisi</v>
      </c>
      <c r="G17" s="236">
        <f>IF(Ref!$B$1&gt;=Ref!$A19,Ref!G19,0)</f>
        <v>40</v>
      </c>
      <c r="H17" s="236">
        <f>IF(Ref!$B$1&gt;=Ref!$A19,Ref!H19,0)</f>
        <v>0</v>
      </c>
      <c r="I17" s="234">
        <f t="shared" si="0"/>
        <v>40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IF(Ref!$B$1&gt;=Ref!$A20,Ref!G20,0)</f>
        <v>0</v>
      </c>
      <c r="H18" s="236">
        <f>IF(Ref!$B$1&gt;=Ref!$A20,Ref!H20,0)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IF(Ref!$B$1&gt;=Ref!$A21,Ref!G21,0)</f>
        <v>0</v>
      </c>
      <c r="H19" s="236">
        <f>IF(Ref!$B$1&gt;=Ref!$A21,Ref!H21,0)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475</v>
      </c>
      <c r="D21" s="51"/>
      <c r="F21" s="8" t="s">
        <v>62</v>
      </c>
      <c r="G21" s="237">
        <f>SUM(G6:G19)</f>
        <v>475</v>
      </c>
      <c r="H21" s="237">
        <f>SUM(H6:H19)</f>
        <v>0</v>
      </c>
      <c r="I21" s="238">
        <f>SUM(I6:I20)</f>
        <v>475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IF(Ref!$B$1&lt;Ref!$A10,Ref!H10,"-")</f>
        <v>-</v>
      </c>
      <c r="C26" s="54"/>
      <c r="D26" s="29"/>
      <c r="E26" s="28"/>
      <c r="F26" s="96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IF(Ref!$B$1&lt;Ref!$A11,Ref!H11,"-")</f>
        <v>-</v>
      </c>
      <c r="C27" s="54"/>
      <c r="D27" s="29"/>
      <c r="E27" s="28"/>
      <c r="F27" s="247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IF(Ref!$B$1&lt;Ref!$A12,Ref!H12,"-")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IF(Ref!$B$1&lt;Ref!$A13,Ref!H13,"-")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IF(Ref!$B$1&lt;Ref!$A14,Ref!H14,"-")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IF(Ref!$B$1&lt;Ref!$A15,Ref!H15,"-")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IF(Ref!$B$1&lt;Ref!$A16,Ref!H16,"-")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IF(Ref!$B$1&lt;Ref!$A17,Ref!H17,"-")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IF(Ref!$B$1&lt;Ref!$A18,Ref!H18,"-")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IF(Ref!$B$1&lt;Ref!$A19,Ref!H19,"-")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IF(Ref!$B$1&lt;Ref!$A20,Ref!H20,"-")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IF(Ref!$B$1&lt;Ref!$A21,Ref!H21,"-")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9" r:id="rId45"/>
  <drawing r:id="rId44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ayfa25">
    <tabColor indexed="26"/>
    <pageSetUpPr fitToPage="1"/>
  </sheetPr>
  <dimension ref="A1:I95"/>
  <sheetViews>
    <sheetView zoomScale="85" zoomScaleNormal="85" workbookViewId="0" topLeftCell="A1">
      <selection activeCell="C15" sqref="C15"/>
    </sheetView>
  </sheetViews>
  <sheetFormatPr defaultColWidth="9.140625" defaultRowHeight="12.75"/>
  <cols>
    <col min="1" max="1" width="11.57421875" style="3" customWidth="1"/>
    <col min="2" max="2" width="24.00390625" style="0" customWidth="1"/>
    <col min="3" max="3" width="15.8515625" style="4" customWidth="1"/>
    <col min="4" max="4" width="5.8515625" style="0" customWidth="1"/>
    <col min="5" max="5" width="11.57421875" style="3" customWidth="1"/>
    <col min="6" max="6" width="20.421875" style="0" bestFit="1" customWidth="1"/>
    <col min="7" max="7" width="15.8515625" style="0" bestFit="1" customWidth="1"/>
    <col min="8" max="8" width="11.57421875" style="0" bestFit="1" customWidth="1"/>
    <col min="9" max="9" width="18.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 t="s">
        <v>75</v>
      </c>
      <c r="B2" s="69" t="str">
        <f>Ref!B41</f>
        <v>Beki Şikar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39244</v>
      </c>
      <c r="B6" s="407" t="s">
        <v>350</v>
      </c>
      <c r="C6" s="409">
        <v>70</v>
      </c>
      <c r="D6" s="52"/>
      <c r="E6" s="3">
        <f>Ref!A8</f>
        <v>39239</v>
      </c>
      <c r="F6" s="3" t="str">
        <f>Ref!B8</f>
        <v>Devreden Borç</v>
      </c>
      <c r="G6" s="242">
        <v>70</v>
      </c>
      <c r="H6" s="217"/>
      <c r="I6" s="234">
        <f aca="true" t="shared" si="0" ref="I6:I19">SUM(G6:H6)</f>
        <v>70</v>
      </c>
    </row>
    <row r="7" spans="1:9" ht="12.75">
      <c r="A7" s="452">
        <v>39280</v>
      </c>
      <c r="B7" s="407" t="s">
        <v>349</v>
      </c>
      <c r="C7" s="409">
        <v>40</v>
      </c>
      <c r="D7" s="52"/>
      <c r="E7" s="3">
        <f>Ref!A9</f>
        <v>39264</v>
      </c>
      <c r="F7" s="3" t="str">
        <f>Ref!B9</f>
        <v>Temmuz-2007 Ödentisi</v>
      </c>
      <c r="G7" s="236">
        <f>IF(Ref!$B$1&gt;=Ref!$A9,Ref!G9,0)</f>
        <v>40</v>
      </c>
      <c r="H7" s="236">
        <f>IF(Ref!$B$1&gt;=Ref!$A9,Ref!H9,0)</f>
        <v>0</v>
      </c>
      <c r="I7" s="234">
        <f t="shared" si="0"/>
        <v>40</v>
      </c>
    </row>
    <row r="8" spans="1:9" ht="12.75">
      <c r="A8" s="452">
        <v>39329</v>
      </c>
      <c r="B8" s="407" t="s">
        <v>393</v>
      </c>
      <c r="C8" s="409">
        <v>80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IF(Ref!$B$1&gt;=Ref!$A10,Ref!G10,0)</f>
        <v>40</v>
      </c>
      <c r="H8" s="236">
        <f>IF(Ref!$B$1&gt;=Ref!$A10,Ref!H10,0)</f>
        <v>0</v>
      </c>
      <c r="I8" s="234">
        <f t="shared" si="0"/>
        <v>40</v>
      </c>
    </row>
    <row r="9" spans="1:9" ht="12.75">
      <c r="A9" s="452">
        <v>39373</v>
      </c>
      <c r="B9" s="407" t="s">
        <v>436</v>
      </c>
      <c r="C9" s="409">
        <v>40</v>
      </c>
      <c r="D9" s="52"/>
      <c r="E9" s="3">
        <f>Ref!A11</f>
        <v>39326</v>
      </c>
      <c r="F9" s="3" t="str">
        <f>Ref!B11</f>
        <v>Eylül-2007 Ödentisi</v>
      </c>
      <c r="G9" s="236">
        <f>IF(Ref!$B$1&gt;=Ref!$A11,Ref!G11,0)</f>
        <v>40</v>
      </c>
      <c r="H9" s="236">
        <f>IF(Ref!$B$1&gt;=Ref!$A11,Ref!H11,0)</f>
        <v>0</v>
      </c>
      <c r="I9" s="234">
        <f t="shared" si="0"/>
        <v>40</v>
      </c>
    </row>
    <row r="10" spans="1:9" ht="12.75">
      <c r="A10" s="452">
        <v>39413</v>
      </c>
      <c r="B10" s="407" t="s">
        <v>470</v>
      </c>
      <c r="C10" s="409">
        <v>40</v>
      </c>
      <c r="D10" s="52"/>
      <c r="E10" s="3">
        <f>Ref!A12</f>
        <v>39356</v>
      </c>
      <c r="F10" s="3" t="str">
        <f>Ref!B12</f>
        <v>Ekim-2007 Ödentisi</v>
      </c>
      <c r="G10" s="236">
        <f>IF(Ref!$B$1&gt;=Ref!$A12,Ref!G12,0)</f>
        <v>40</v>
      </c>
      <c r="H10" s="236">
        <f>IF(Ref!$B$1&gt;=Ref!$A12,Ref!H12,0)</f>
        <v>0</v>
      </c>
      <c r="I10" s="234">
        <f t="shared" si="0"/>
        <v>40</v>
      </c>
    </row>
    <row r="11" spans="1:9" ht="12.75">
      <c r="A11" s="452">
        <v>39423</v>
      </c>
      <c r="B11" s="407" t="s">
        <v>482</v>
      </c>
      <c r="C11" s="409">
        <v>40</v>
      </c>
      <c r="D11" s="52"/>
      <c r="E11" s="3">
        <f>Ref!A13</f>
        <v>39387</v>
      </c>
      <c r="F11" s="3" t="str">
        <f>Ref!B13</f>
        <v>Kasım-2007 Ödentisi</v>
      </c>
      <c r="G11" s="236">
        <f>IF(Ref!$B$1&gt;=Ref!$A13,Ref!G13,0)</f>
        <v>40</v>
      </c>
      <c r="H11" s="236">
        <f>IF(Ref!$B$1&gt;=Ref!$A13,Ref!H13,0)</f>
        <v>0</v>
      </c>
      <c r="I11" s="234">
        <f t="shared" si="0"/>
        <v>40</v>
      </c>
    </row>
    <row r="12" spans="1:9" ht="12.75">
      <c r="A12" s="452">
        <v>39490</v>
      </c>
      <c r="B12" s="407" t="s">
        <v>529</v>
      </c>
      <c r="C12" s="409">
        <v>80</v>
      </c>
      <c r="D12" s="52"/>
      <c r="E12" s="3">
        <f>Ref!A14</f>
        <v>39417</v>
      </c>
      <c r="F12" s="3" t="str">
        <f>Ref!B14</f>
        <v>Aralık-2007 Ödentisi</v>
      </c>
      <c r="G12" s="236">
        <f>IF(Ref!$B$1&gt;=Ref!$A14,Ref!G14,0)</f>
        <v>40</v>
      </c>
      <c r="H12" s="236">
        <f>IF(Ref!$B$1&gt;=Ref!$A14,Ref!H14,0)</f>
        <v>0</v>
      </c>
      <c r="I12" s="234">
        <f t="shared" si="0"/>
        <v>40</v>
      </c>
    </row>
    <row r="13" spans="1:9" ht="12.75">
      <c r="A13" s="452">
        <v>39524</v>
      </c>
      <c r="B13" s="407" t="s">
        <v>566</v>
      </c>
      <c r="C13" s="409">
        <v>40</v>
      </c>
      <c r="D13" s="52"/>
      <c r="E13" s="3">
        <f>Ref!A15</f>
        <v>39448</v>
      </c>
      <c r="F13" s="3" t="str">
        <f>Ref!B15</f>
        <v>Ocak-2008 Ödentisi</v>
      </c>
      <c r="G13" s="236">
        <f>IF(Ref!$B$1&gt;=Ref!$A15,Ref!G15,0)</f>
        <v>40</v>
      </c>
      <c r="H13" s="236">
        <f>IF(Ref!$B$1&gt;=Ref!$A15,Ref!H15,0)</f>
        <v>0</v>
      </c>
      <c r="I13" s="234">
        <f t="shared" si="0"/>
        <v>40</v>
      </c>
    </row>
    <row r="14" spans="1:9" ht="12.75">
      <c r="A14" s="452">
        <v>39553</v>
      </c>
      <c r="B14" s="407" t="s">
        <v>587</v>
      </c>
      <c r="C14" s="409">
        <v>40</v>
      </c>
      <c r="D14" s="52"/>
      <c r="E14" s="3">
        <f>Ref!A16</f>
        <v>39479</v>
      </c>
      <c r="F14" s="3" t="str">
        <f>Ref!B16</f>
        <v>Şubat-2008 Ödentisi</v>
      </c>
      <c r="G14" s="236">
        <f>IF(Ref!$B$1&gt;=Ref!$A16,Ref!G16,0)</f>
        <v>40</v>
      </c>
      <c r="H14" s="236">
        <f>IF(Ref!$B$1&gt;=Ref!$A16,Ref!H16,0)</f>
        <v>0</v>
      </c>
      <c r="I14" s="234">
        <f t="shared" si="0"/>
        <v>40</v>
      </c>
    </row>
    <row r="15" spans="1:9" ht="12.75">
      <c r="A15" s="452">
        <v>39581</v>
      </c>
      <c r="B15" s="407" t="s">
        <v>615</v>
      </c>
      <c r="C15" s="409">
        <v>40</v>
      </c>
      <c r="D15" s="52"/>
      <c r="E15" s="3">
        <f>Ref!A17</f>
        <v>39508</v>
      </c>
      <c r="F15" s="3" t="str">
        <f>Ref!B17</f>
        <v>Mart-2008 Ödentisi</v>
      </c>
      <c r="G15" s="236">
        <f>IF(Ref!$B$1&gt;=Ref!$A17,Ref!G17,0)</f>
        <v>40</v>
      </c>
      <c r="H15" s="236">
        <f>IF(Ref!$B$1&gt;=Ref!$A17,Ref!H17,0)</f>
        <v>0</v>
      </c>
      <c r="I15" s="234">
        <f t="shared" si="0"/>
        <v>40</v>
      </c>
    </row>
    <row r="16" spans="1:9" ht="12.75">
      <c r="A16" s="452"/>
      <c r="B16" s="407"/>
      <c r="C16" s="409"/>
      <c r="D16" s="52"/>
      <c r="E16" s="3">
        <f>Ref!A18</f>
        <v>39539</v>
      </c>
      <c r="F16" s="3" t="str">
        <f>Ref!B18</f>
        <v>Nisan-2008 Ödentisi</v>
      </c>
      <c r="G16" s="236">
        <f>IF(Ref!$B$1&gt;=Ref!$A18,Ref!G18,0)</f>
        <v>40</v>
      </c>
      <c r="H16" s="236">
        <f>IF(Ref!$B$1&gt;=Ref!$A18,Ref!H18,0)</f>
        <v>0</v>
      </c>
      <c r="I16" s="234">
        <f t="shared" si="0"/>
        <v>40</v>
      </c>
    </row>
    <row r="17" spans="1:9" ht="12.75">
      <c r="A17" s="452"/>
      <c r="B17" s="470"/>
      <c r="C17" s="409"/>
      <c r="D17" s="52"/>
      <c r="E17" s="3">
        <f>Ref!A19</f>
        <v>39569</v>
      </c>
      <c r="F17" s="3" t="str">
        <f>Ref!B19</f>
        <v>Mayıs-2008 Ödentisi</v>
      </c>
      <c r="G17" s="236">
        <f>IF(Ref!$B$1&gt;=Ref!$A19,Ref!G19,0)</f>
        <v>40</v>
      </c>
      <c r="H17" s="236">
        <f>IF(Ref!$B$1&gt;=Ref!$A19,Ref!H19,0)</f>
        <v>0</v>
      </c>
      <c r="I17" s="234">
        <f t="shared" si="0"/>
        <v>40</v>
      </c>
    </row>
    <row r="18" spans="1:9" ht="12.75">
      <c r="A18" s="452"/>
      <c r="B18" s="407"/>
      <c r="C18" s="409"/>
      <c r="D18" s="52"/>
      <c r="E18" s="3">
        <f>Ref!A20</f>
        <v>39600</v>
      </c>
      <c r="F18" s="3" t="str">
        <f>Ref!B20</f>
        <v>Haziran-2008 Ödentisi</v>
      </c>
      <c r="G18" s="236">
        <f>IF(Ref!$B$1&gt;=Ref!$A20,Ref!G20,0)</f>
        <v>0</v>
      </c>
      <c r="H18" s="236">
        <f>IF(Ref!$B$1&gt;=Ref!$A20,Ref!H20,0)</f>
        <v>0</v>
      </c>
      <c r="I18" s="234">
        <f t="shared" si="0"/>
        <v>0</v>
      </c>
    </row>
    <row r="19" spans="1:9" ht="12.75">
      <c r="A19" s="452"/>
      <c r="B19" s="407"/>
      <c r="C19" s="409"/>
      <c r="D19" s="52"/>
      <c r="E19" s="3">
        <f>Ref!A21</f>
        <v>39630</v>
      </c>
      <c r="F19" s="3" t="str">
        <f>Ref!B21</f>
        <v>Temmuz-2008 Ödentisi</v>
      </c>
      <c r="G19" s="236">
        <f>IF(Ref!$B$1&gt;=Ref!$A21,Ref!G21,0)</f>
        <v>0</v>
      </c>
      <c r="H19" s="236">
        <f>IF(Ref!$B$1&gt;=Ref!$A21,Ref!H21,0)</f>
        <v>0</v>
      </c>
      <c r="I19" s="234">
        <f t="shared" si="0"/>
        <v>0</v>
      </c>
    </row>
    <row r="20" spans="1:9" ht="13.5" thickBot="1">
      <c r="A20" s="452"/>
      <c r="B20" s="407"/>
      <c r="C20" s="409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510</v>
      </c>
      <c r="D21" s="51"/>
      <c r="F21" s="8" t="s">
        <v>62</v>
      </c>
      <c r="G21" s="237">
        <f>SUM(G6:G19)</f>
        <v>510</v>
      </c>
      <c r="H21" s="237">
        <f>SUM(H6:H19)</f>
        <v>0</v>
      </c>
      <c r="I21" s="238">
        <f>SUM(I6:I20)</f>
        <v>510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3.5" thickBot="1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IF(Ref!$B$1&lt;Ref!$A10,Ref!H10,"-")</f>
        <v>-</v>
      </c>
      <c r="C26" s="54"/>
      <c r="D26" s="29"/>
      <c r="E26" s="28"/>
      <c r="F26" s="96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6.5" thickBot="1">
      <c r="A27" s="20" t="str">
        <f>IF(Ref!$B$1&lt;Ref!$A11,Ref!A11,"-")</f>
        <v>-</v>
      </c>
      <c r="B27" s="246" t="str">
        <f>IF(Ref!$B$1&lt;Ref!$A11,Ref!H11,"-")</f>
        <v>-</v>
      </c>
      <c r="C27" s="54"/>
      <c r="D27" s="29"/>
      <c r="E27" s="28"/>
      <c r="F27" s="247">
        <f>C21-I21</f>
        <v>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IF(Ref!$B$1&lt;Ref!$A12,Ref!H12,"-")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IF(Ref!$B$1&lt;Ref!$A13,Ref!H13,"-")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IF(Ref!$B$1&lt;Ref!$A14,Ref!H14,"-")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IF(Ref!$B$1&lt;Ref!$A15,Ref!H15,"-")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IF(Ref!$B$1&lt;Ref!$A16,Ref!H16,"-")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IF(Ref!$B$1&lt;Ref!$A17,Ref!H17,"-")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IF(Ref!$B$1&lt;Ref!$A18,Ref!H18,"-")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IF(Ref!$B$1&lt;Ref!$A19,Ref!H19,"-")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3.5" thickBot="1">
      <c r="A36" s="20">
        <f>IF(Ref!$B$1&lt;Ref!$A20,Ref!A20,"-")</f>
        <v>39600</v>
      </c>
      <c r="B36" s="246">
        <f>IF(Ref!$B$1&lt;Ref!$A20,Ref!H20,"-")</f>
        <v>0</v>
      </c>
      <c r="C36" s="54"/>
      <c r="D36" s="85" t="s">
        <v>98</v>
      </c>
      <c r="E36" s="86"/>
      <c r="F36" s="87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IF(Ref!$B$1&lt;Ref!$A21,Ref!H21,"-")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8" r:id="rId45"/>
  <drawing r:id="rId44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ayfa26">
    <tabColor indexed="26"/>
    <pageSetUpPr fitToPage="1"/>
  </sheetPr>
  <dimension ref="A1:I95"/>
  <sheetViews>
    <sheetView zoomScale="85" zoomScaleNormal="85" workbookViewId="0" topLeftCell="A1">
      <selection activeCell="C6" sqref="C6"/>
    </sheetView>
  </sheetViews>
  <sheetFormatPr defaultColWidth="9.140625" defaultRowHeight="12.75"/>
  <cols>
    <col min="1" max="1" width="11.57421875" style="3" customWidth="1"/>
    <col min="2" max="2" width="24.00390625" style="0" customWidth="1"/>
    <col min="3" max="3" width="15.8515625" style="4" customWidth="1"/>
    <col min="4" max="4" width="5.8515625" style="0" customWidth="1"/>
    <col min="5" max="5" width="11.57421875" style="3" customWidth="1"/>
    <col min="6" max="6" width="22.8515625" style="0" bestFit="1" customWidth="1"/>
    <col min="7" max="7" width="15.8515625" style="0" bestFit="1" customWidth="1"/>
    <col min="8" max="8" width="11.57421875" style="0" bestFit="1" customWidth="1"/>
    <col min="9" max="9" width="18.421875" style="2" bestFit="1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 t="s">
        <v>76</v>
      </c>
      <c r="B2" s="59" t="str">
        <f>Ref!B42</f>
        <v>Didar ÇAĞIRGAN</v>
      </c>
      <c r="C2" s="48"/>
      <c r="D2" s="26"/>
      <c r="E2" s="49"/>
      <c r="F2" s="43"/>
      <c r="G2" s="67" t="s">
        <v>8</v>
      </c>
      <c r="H2" s="68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249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39352</v>
      </c>
      <c r="B6" s="407" t="s">
        <v>409</v>
      </c>
      <c r="C6" s="409">
        <v>335</v>
      </c>
      <c r="D6" s="52"/>
      <c r="E6" s="3">
        <f>Ref!A8</f>
        <v>39239</v>
      </c>
      <c r="F6" s="3" t="str">
        <f>Ref!B8</f>
        <v>Devreden Borç</v>
      </c>
      <c r="G6" s="242">
        <v>175</v>
      </c>
      <c r="H6" s="217"/>
      <c r="I6" s="234">
        <f aca="true" t="shared" si="0" ref="I6:I19">SUM(G6:H6)</f>
        <v>175</v>
      </c>
    </row>
    <row r="7" spans="1:9" ht="12.75">
      <c r="A7" s="452"/>
      <c r="B7" s="407"/>
      <c r="C7" s="409"/>
      <c r="D7" s="52"/>
      <c r="E7" s="3">
        <f>Ref!A9</f>
        <v>39264</v>
      </c>
      <c r="F7" s="3" t="str">
        <f>Ref!B9</f>
        <v>Temmuz-2007 Ödentisi</v>
      </c>
      <c r="G7" s="236">
        <f>IF(Ref!$B$1&gt;=Ref!$A9,Ref!G9,0)</f>
        <v>40</v>
      </c>
      <c r="H7" s="236">
        <f>IF(Ref!$B$1&gt;=Ref!$A9,Ref!H9,0)</f>
        <v>0</v>
      </c>
      <c r="I7" s="234">
        <f t="shared" si="0"/>
        <v>40</v>
      </c>
    </row>
    <row r="8" spans="1:9" ht="12.75">
      <c r="A8" s="452"/>
      <c r="B8" s="407"/>
      <c r="C8" s="409"/>
      <c r="D8" s="52"/>
      <c r="E8" s="3">
        <f>Ref!A10</f>
        <v>39295</v>
      </c>
      <c r="F8" s="3" t="str">
        <f>Ref!B10</f>
        <v>Ağustos-2007 Ödentisi</v>
      </c>
      <c r="G8" s="236">
        <f>IF(Ref!$B$1&gt;=Ref!$A10,Ref!G10,0)</f>
        <v>40</v>
      </c>
      <c r="H8" s="236">
        <f>IF(Ref!$B$1&gt;=Ref!$A10,Ref!H10,0)</f>
        <v>0</v>
      </c>
      <c r="I8" s="234">
        <f t="shared" si="0"/>
        <v>40</v>
      </c>
    </row>
    <row r="9" spans="1:9" ht="12.75">
      <c r="A9" s="452"/>
      <c r="B9" s="407"/>
      <c r="C9" s="465"/>
      <c r="D9" s="52"/>
      <c r="E9" s="3">
        <f>Ref!A11</f>
        <v>39326</v>
      </c>
      <c r="F9" s="3" t="str">
        <f>Ref!B11</f>
        <v>Eylül-2007 Ödentisi</v>
      </c>
      <c r="G9" s="236">
        <f>IF(Ref!$B$1&gt;=Ref!$A11,Ref!G11,0)</f>
        <v>40</v>
      </c>
      <c r="H9" s="236">
        <f>IF(Ref!$B$1&gt;=Ref!$A11,Ref!H11,0)</f>
        <v>0</v>
      </c>
      <c r="I9" s="234">
        <f t="shared" si="0"/>
        <v>40</v>
      </c>
    </row>
    <row r="10" spans="1:9" ht="12.75">
      <c r="A10" s="452"/>
      <c r="B10" s="407"/>
      <c r="C10" s="465"/>
      <c r="D10" s="52"/>
      <c r="E10" s="3">
        <f>Ref!A12</f>
        <v>39356</v>
      </c>
      <c r="F10" s="3" t="str">
        <f>Ref!B12</f>
        <v>Ekim-2007 Ödentisi</v>
      </c>
      <c r="G10" s="236">
        <f>IF(Ref!$B$1&gt;=Ref!$A12,Ref!G12,0)</f>
        <v>40</v>
      </c>
      <c r="H10" s="236">
        <f>IF(Ref!$B$1&gt;=Ref!$A12,Ref!H12,0)</f>
        <v>0</v>
      </c>
      <c r="I10" s="234">
        <f t="shared" si="0"/>
        <v>40</v>
      </c>
    </row>
    <row r="11" spans="1:9" ht="12.75">
      <c r="A11" s="452"/>
      <c r="B11" s="407"/>
      <c r="C11" s="465"/>
      <c r="D11" s="52"/>
      <c r="E11" s="3">
        <f>Ref!A13</f>
        <v>39387</v>
      </c>
      <c r="F11" s="3" t="str">
        <f>Ref!B13</f>
        <v>Kasım-2007 Ödentisi</v>
      </c>
      <c r="G11" s="236">
        <f>IF(Ref!$B$1&gt;=Ref!$A13,Ref!G13,0)</f>
        <v>40</v>
      </c>
      <c r="H11" s="236">
        <f>IF(Ref!$B$1&gt;=Ref!$A13,Ref!H13,0)</f>
        <v>0</v>
      </c>
      <c r="I11" s="234">
        <f t="shared" si="0"/>
        <v>40</v>
      </c>
    </row>
    <row r="12" spans="1:9" ht="12.75">
      <c r="A12" s="452"/>
      <c r="B12" s="407"/>
      <c r="C12" s="465"/>
      <c r="D12" s="52"/>
      <c r="E12" s="3">
        <f>Ref!A14</f>
        <v>39417</v>
      </c>
      <c r="F12" s="3" t="str">
        <f>Ref!B14</f>
        <v>Aralık-2007 Ödentisi</v>
      </c>
      <c r="G12" s="236">
        <f>IF(Ref!$B$1&gt;=Ref!$A14,Ref!G14,0)</f>
        <v>40</v>
      </c>
      <c r="H12" s="236">
        <f>IF(Ref!$B$1&gt;=Ref!$A14,Ref!H14,0)</f>
        <v>0</v>
      </c>
      <c r="I12" s="234">
        <f t="shared" si="0"/>
        <v>40</v>
      </c>
    </row>
    <row r="13" spans="1:9" ht="12.75">
      <c r="A13" s="452"/>
      <c r="B13" s="407"/>
      <c r="C13" s="465"/>
      <c r="D13" s="52"/>
      <c r="E13" s="3">
        <f>Ref!A15</f>
        <v>39448</v>
      </c>
      <c r="F13" s="3" t="str">
        <f>Ref!B15</f>
        <v>Ocak-2008 Ödentisi</v>
      </c>
      <c r="G13" s="236">
        <f>IF(Ref!$B$1&gt;=Ref!$A15,Ref!G15,0)</f>
        <v>40</v>
      </c>
      <c r="H13" s="236">
        <f>IF(Ref!$B$1&gt;=Ref!$A15,Ref!H15,0)</f>
        <v>0</v>
      </c>
      <c r="I13" s="234">
        <f t="shared" si="0"/>
        <v>40</v>
      </c>
    </row>
    <row r="14" spans="1:9" ht="12.75">
      <c r="A14" s="452"/>
      <c r="B14" s="407"/>
      <c r="C14" s="465"/>
      <c r="D14" s="52"/>
      <c r="E14" s="3">
        <f>Ref!A16</f>
        <v>39479</v>
      </c>
      <c r="F14" s="3" t="str">
        <f>Ref!B16</f>
        <v>Şubat-2008 Ödentisi</v>
      </c>
      <c r="G14" s="236">
        <f>IF(Ref!$B$1&gt;=Ref!$A16,Ref!G16,0)</f>
        <v>40</v>
      </c>
      <c r="H14" s="236">
        <f>IF(Ref!$B$1&gt;=Ref!$A16,Ref!H16,0)</f>
        <v>0</v>
      </c>
      <c r="I14" s="234">
        <f t="shared" si="0"/>
        <v>40</v>
      </c>
    </row>
    <row r="15" spans="1:9" ht="12.75">
      <c r="A15" s="452"/>
      <c r="B15" s="407"/>
      <c r="C15" s="465"/>
      <c r="D15" s="52"/>
      <c r="E15" s="3">
        <f>Ref!A17</f>
        <v>39508</v>
      </c>
      <c r="F15" s="3" t="str">
        <f>Ref!B17</f>
        <v>Mart-2008 Ödentisi</v>
      </c>
      <c r="G15" s="236">
        <f>IF(Ref!$B$1&gt;=Ref!$A17,Ref!G17,0)</f>
        <v>40</v>
      </c>
      <c r="H15" s="236">
        <f>IF(Ref!$B$1&gt;=Ref!$A17,Ref!H17,0)</f>
        <v>0</v>
      </c>
      <c r="I15" s="234">
        <f t="shared" si="0"/>
        <v>40</v>
      </c>
    </row>
    <row r="16" spans="1:9" ht="12.75">
      <c r="A16" s="452"/>
      <c r="B16" s="407"/>
      <c r="C16" s="465"/>
      <c r="D16" s="52"/>
      <c r="E16" s="3">
        <f>Ref!A18</f>
        <v>39539</v>
      </c>
      <c r="F16" s="3" t="str">
        <f>Ref!B18</f>
        <v>Nisan-2008 Ödentisi</v>
      </c>
      <c r="G16" s="236">
        <f>IF(Ref!$B$1&gt;=Ref!$A18,Ref!G18,0)</f>
        <v>40</v>
      </c>
      <c r="H16" s="236">
        <f>IF(Ref!$B$1&gt;=Ref!$A18,Ref!H18,0)</f>
        <v>0</v>
      </c>
      <c r="I16" s="234">
        <f t="shared" si="0"/>
        <v>40</v>
      </c>
    </row>
    <row r="17" spans="1:9" ht="12.75">
      <c r="A17" s="452"/>
      <c r="B17" s="407"/>
      <c r="C17" s="465"/>
      <c r="D17" s="52"/>
      <c r="E17" s="3">
        <f>Ref!A19</f>
        <v>39569</v>
      </c>
      <c r="F17" s="3" t="str">
        <f>Ref!B19</f>
        <v>Mayıs-2008 Ödentisi</v>
      </c>
      <c r="G17" s="236">
        <f>IF(Ref!$B$1&gt;=Ref!$A19,Ref!G19,0)</f>
        <v>40</v>
      </c>
      <c r="H17" s="236">
        <f>IF(Ref!$B$1&gt;=Ref!$A19,Ref!H19,0)</f>
        <v>0</v>
      </c>
      <c r="I17" s="234">
        <f t="shared" si="0"/>
        <v>40</v>
      </c>
    </row>
    <row r="18" spans="1:9" ht="12.75">
      <c r="A18" s="452"/>
      <c r="B18" s="407"/>
      <c r="C18" s="465"/>
      <c r="D18" s="52"/>
      <c r="E18" s="3">
        <f>Ref!A20</f>
        <v>39600</v>
      </c>
      <c r="F18" s="3" t="str">
        <f>Ref!B20</f>
        <v>Haziran-2008 Ödentisi</v>
      </c>
      <c r="G18" s="236">
        <f>IF(Ref!$B$1&gt;=Ref!$A20,Ref!G20,0)</f>
        <v>0</v>
      </c>
      <c r="H18" s="236">
        <f>IF(Ref!$B$1&gt;=Ref!$A20,Ref!H20,0)</f>
        <v>0</v>
      </c>
      <c r="I18" s="234">
        <f t="shared" si="0"/>
        <v>0</v>
      </c>
    </row>
    <row r="19" spans="1:9" ht="12.75">
      <c r="A19" s="452"/>
      <c r="B19" s="407"/>
      <c r="C19" s="465"/>
      <c r="D19" s="52"/>
      <c r="E19" s="3">
        <f>Ref!A21</f>
        <v>39630</v>
      </c>
      <c r="F19" s="3" t="str">
        <f>Ref!B21</f>
        <v>Temmuz-2008 Ödentisi</v>
      </c>
      <c r="G19" s="236">
        <f>IF(Ref!$B$1&gt;=Ref!$A21,Ref!G21,0)</f>
        <v>0</v>
      </c>
      <c r="H19" s="236">
        <f>IF(Ref!$B$1&gt;=Ref!$A21,Ref!H21,0)</f>
        <v>0</v>
      </c>
      <c r="I19" s="234">
        <f t="shared" si="0"/>
        <v>0</v>
      </c>
    </row>
    <row r="20" spans="1:9" ht="13.5" thickBot="1">
      <c r="A20" s="452"/>
      <c r="B20" s="407"/>
      <c r="C20" s="465"/>
      <c r="D20" s="52"/>
      <c r="F20" s="3"/>
      <c r="G20" s="236"/>
      <c r="H20" s="236"/>
      <c r="I20" s="234"/>
    </row>
    <row r="21" spans="1:9" ht="14.25" thickBot="1" thickTop="1">
      <c r="A21" s="83"/>
      <c r="B21" s="84" t="s">
        <v>11</v>
      </c>
      <c r="C21" s="241">
        <f>SUM(C6:C20)</f>
        <v>335</v>
      </c>
      <c r="D21" s="51"/>
      <c r="E21" s="83"/>
      <c r="F21" s="84" t="s">
        <v>62</v>
      </c>
      <c r="G21" s="244">
        <f>SUM(G6:G19)</f>
        <v>615</v>
      </c>
      <c r="H21" s="244">
        <f>SUM(H6:H19)</f>
        <v>0</v>
      </c>
      <c r="I21" s="245">
        <f>SUM(I6:I20)</f>
        <v>615</v>
      </c>
    </row>
    <row r="22" spans="1:9" ht="12.75">
      <c r="A22" s="35"/>
      <c r="B22" s="36"/>
      <c r="C22" s="37"/>
      <c r="D22" s="26"/>
      <c r="E22" s="35"/>
      <c r="F22" s="36"/>
      <c r="G22" s="38"/>
      <c r="H22" s="38"/>
      <c r="I22" s="39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2.75">
      <c r="A25" s="20" t="str">
        <f>IF(Ref!$B$1&lt;Ref!$A9,Ref!A9,"-")</f>
        <v>-</v>
      </c>
      <c r="B25" s="246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20" t="str">
        <f>IF(Ref!$B$1&lt;Ref!$A10,Ref!A10,"-")</f>
        <v>-</v>
      </c>
      <c r="B26" s="246" t="str">
        <f>IF(Ref!$B$1&lt;Ref!$A10,Ref!H10,"-")</f>
        <v>-</v>
      </c>
      <c r="C26" s="54"/>
      <c r="D26" s="29"/>
      <c r="E26" s="28"/>
      <c r="F26" s="64" t="str">
        <f>IF((C21-I21)&gt;0,"ALACAK BAKİYENİZ :","BORÇ BAKİYENİZ :")</f>
        <v>BORÇ BAKİYENİZ :</v>
      </c>
      <c r="G26" s="40"/>
      <c r="H26" s="55" t="s">
        <v>65</v>
      </c>
      <c r="I26" s="57"/>
    </row>
    <row r="27" spans="1:9" ht="15.75">
      <c r="A27" s="20" t="str">
        <f>IF(Ref!$B$1&lt;Ref!$A11,Ref!A11,"-")</f>
        <v>-</v>
      </c>
      <c r="B27" s="246" t="str">
        <f>IF(Ref!$B$1&lt;Ref!$A11,Ref!H11,"-")</f>
        <v>-</v>
      </c>
      <c r="C27" s="54"/>
      <c r="D27" s="29"/>
      <c r="E27" s="28"/>
      <c r="F27" s="239">
        <f>C21-I21</f>
        <v>-280</v>
      </c>
      <c r="G27" s="40"/>
      <c r="H27" s="56"/>
      <c r="I27" s="27"/>
    </row>
    <row r="28" spans="1:9" ht="12.75">
      <c r="A28" s="20" t="str">
        <f>IF(Ref!$B$1&lt;Ref!$A12,Ref!A12,"-")</f>
        <v>-</v>
      </c>
      <c r="B28" s="246" t="str">
        <f>IF(Ref!$B$1&lt;Ref!$A12,Ref!H12,"-")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20" t="str">
        <f>IF(Ref!$B$1&lt;Ref!$A13,Ref!A13,"-")</f>
        <v>-</v>
      </c>
      <c r="B29" s="246" t="str">
        <f>IF(Ref!$B$1&lt;Ref!$A13,Ref!H13,"-")</f>
        <v>-</v>
      </c>
      <c r="C29" s="54"/>
      <c r="D29" s="29"/>
      <c r="E29" s="28"/>
      <c r="F29" s="29"/>
      <c r="G29" s="40"/>
      <c r="H29" s="56"/>
      <c r="I29" s="27"/>
    </row>
    <row r="30" spans="1:9" ht="12.75">
      <c r="A30" s="20" t="str">
        <f>IF(Ref!$B$1&lt;Ref!$A14,Ref!A14,"-")</f>
        <v>-</v>
      </c>
      <c r="B30" s="246" t="str">
        <f>IF(Ref!$B$1&lt;Ref!$A14,Ref!H14,"-")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20" t="str">
        <f>IF(Ref!$B$1&lt;Ref!$A15,Ref!A15,"-")</f>
        <v>-</v>
      </c>
      <c r="B31" s="246" t="str">
        <f>IF(Ref!$B$1&lt;Ref!$A15,Ref!H15,"-")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20" t="str">
        <f>IF(Ref!$B$1&lt;Ref!$A16,Ref!A16,"-")</f>
        <v>-</v>
      </c>
      <c r="B32" s="246" t="str">
        <f>IF(Ref!$B$1&lt;Ref!$A16,Ref!H16,"-")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20" t="str">
        <f>IF(Ref!$B$1&lt;Ref!$A17,Ref!A17,"-")</f>
        <v>-</v>
      </c>
      <c r="B33" s="246" t="str">
        <f>IF(Ref!$B$1&lt;Ref!$A17,Ref!H17,"-")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20" t="str">
        <f>IF(Ref!$B$1&lt;Ref!$A18,Ref!A18,"-")</f>
        <v>-</v>
      </c>
      <c r="B34" s="246" t="str">
        <f>IF(Ref!$B$1&lt;Ref!$A18,Ref!H18,"-")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20" t="str">
        <f>IF(Ref!$B$1&lt;Ref!$A19,Ref!A19,"-")</f>
        <v>-</v>
      </c>
      <c r="B35" s="246" t="str">
        <f>IF(Ref!$B$1&lt;Ref!$A19,Ref!H19,"-")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2.75">
      <c r="A36" s="20">
        <f>IF(Ref!$B$1&lt;Ref!$A20,Ref!A20,"-")</f>
        <v>39600</v>
      </c>
      <c r="B36" s="246">
        <f>IF(Ref!$B$1&lt;Ref!$A20,Ref!H20,"-")</f>
        <v>0</v>
      </c>
      <c r="C36" s="54"/>
      <c r="D36" s="80" t="s">
        <v>98</v>
      </c>
      <c r="E36" s="49"/>
      <c r="F36" s="81"/>
      <c r="G36" s="40"/>
      <c r="H36" s="56"/>
      <c r="I36" s="27"/>
    </row>
    <row r="37" spans="1:9" ht="12.75">
      <c r="A37" s="20">
        <f>IF(Ref!$B$1&lt;Ref!$A21,Ref!A21,"-")</f>
        <v>39630</v>
      </c>
      <c r="B37" s="246">
        <f>IF(Ref!$B$1&lt;Ref!$A21,Ref!H21,"-")</f>
        <v>0</v>
      </c>
      <c r="C37" s="54"/>
      <c r="D37" s="29"/>
      <c r="E37" s="28"/>
      <c r="F37" s="29"/>
      <c r="G37" s="40"/>
      <c r="H37" s="56"/>
      <c r="I37" s="27"/>
    </row>
    <row r="38" spans="1:7" ht="12.75">
      <c r="A38"/>
      <c r="B38" s="217"/>
      <c r="G38" s="4"/>
    </row>
    <row r="39" spans="2:7" ht="12.75">
      <c r="B39" s="217"/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hyperlinks>
    <hyperlink ref="G7" r:id="rId1" display="=@IF(G1&gt;H1,&quot;*&quot;,&quot;-&quot;)"/>
    <hyperlink ref="H7" r:id="rId2" display="=@IF(G1&gt;H1,&quot;*&quot;,&quot;-&quot;)"/>
    <hyperlink ref="A25" r:id="rId3" display="=@IF(G1&gt;H1,&quot;*&quot;,&quot;-&quot;)"/>
    <hyperlink ref="B25" r:id="rId4" display="=@IF(G1&gt;H1,&quot;*&quot;,&quot;-&quot;)"/>
    <hyperlink ref="A26" r:id="rId5" display="=@IF(G1&gt;H1,&quot;*&quot;,&quot;-&quot;)"/>
    <hyperlink ref="A27" r:id="rId6" display="=@IF(G1&gt;H1,&quot;*&quot;,&quot;-&quot;)"/>
    <hyperlink ref="A28" r:id="rId7" display="=@IF(G1&gt;H1,&quot;*&quot;,&quot;-&quot;)"/>
    <hyperlink ref="A29" r:id="rId8" display="=@IF(G1&gt;H1,&quot;*&quot;,&quot;-&quot;)"/>
    <hyperlink ref="A30" r:id="rId9" display="=@IF(G1&gt;H1,&quot;*&quot;,&quot;-&quot;)"/>
    <hyperlink ref="A31" r:id="rId10" display="=@IF(G1&gt;H1,&quot;*&quot;,&quot;-&quot;)"/>
    <hyperlink ref="A32" r:id="rId11" display="=@IF(G1&gt;H1,&quot;*&quot;,&quot;-&quot;)"/>
    <hyperlink ref="A33" r:id="rId12" display="=@IF(G1&gt;H1,&quot;*&quot;,&quot;-&quot;)"/>
    <hyperlink ref="A34" r:id="rId13" display="=@IF(G1&gt;H1,&quot;*&quot;,&quot;-&quot;)"/>
    <hyperlink ref="A35" r:id="rId14" display="=@IF(G1&gt;H1,&quot;*&quot;,&quot;-&quot;)"/>
    <hyperlink ref="A36" r:id="rId15" display="=@IF(G1&gt;H1,&quot;*&quot;,&quot;-&quot;)"/>
    <hyperlink ref="A37" r:id="rId16" display="=@IF(G1&gt;H1,&quot;*&quot;,&quot;-&quot;)"/>
    <hyperlink ref="B26" r:id="rId17" display="=@IF(G1&gt;H1,&quot;*&quot;,&quot;-&quot;)"/>
    <hyperlink ref="B27:B37" r:id="rId18" display="=@IF(G1&gt;H1,&quot;*&quot;,&quot;-&quot;)"/>
    <hyperlink ref="H2" r:id="rId19" display="=@today()"/>
    <hyperlink ref="G8" r:id="rId20" display="=@IF(G1&gt;H1,&quot;*&quot;,&quot;-&quot;)"/>
    <hyperlink ref="G9" r:id="rId21" display="=@IF(G1&gt;H1,&quot;*&quot;,&quot;-&quot;)"/>
    <hyperlink ref="G10" r:id="rId22" display="=@IF(G1&gt;H1,&quot;*&quot;,&quot;-&quot;)"/>
    <hyperlink ref="G11" r:id="rId23" display="=@IF(G1&gt;H1,&quot;*&quot;,&quot;-&quot;)"/>
    <hyperlink ref="G12" r:id="rId24" display="=@IF(G1&gt;H1,&quot;*&quot;,&quot;-&quot;)"/>
    <hyperlink ref="G13" r:id="rId25" display="=@IF(G1&gt;H1,&quot;*&quot;,&quot;-&quot;)"/>
    <hyperlink ref="G14" r:id="rId26" display="=@IF(G1&gt;H1,&quot;*&quot;,&quot;-&quot;)"/>
    <hyperlink ref="G15" r:id="rId27" display="=@IF(G1&gt;H1,&quot;*&quot;,&quot;-&quot;)"/>
    <hyperlink ref="G16" r:id="rId28" display="=@IF(G1&gt;H1,&quot;*&quot;,&quot;-&quot;)"/>
    <hyperlink ref="G17" r:id="rId29" display="=@IF(G1&gt;H1,&quot;*&quot;,&quot;-&quot;)"/>
    <hyperlink ref="G18" r:id="rId30" display="=@IF(G1&gt;H1,&quot;*&quot;,&quot;-&quot;)"/>
    <hyperlink ref="G19" r:id="rId31" display="=@IF(G1&gt;H1,&quot;*&quot;,&quot;-&quot;)"/>
    <hyperlink ref="H8" r:id="rId32" display="=@IF(G1&gt;H1,&quot;*&quot;,&quot;-&quot;)"/>
    <hyperlink ref="H9" r:id="rId33" display="=@IF(G1&gt;H1,&quot;*&quot;,&quot;-&quot;)"/>
    <hyperlink ref="H10" r:id="rId34" display="=@IF(G1&gt;H1,&quot;*&quot;,&quot;-&quot;)"/>
    <hyperlink ref="H11" r:id="rId35" display="=@IF(G1&gt;H1,&quot;*&quot;,&quot;-&quot;)"/>
    <hyperlink ref="H12" r:id="rId36" display="=@IF(G1&gt;H1,&quot;*&quot;,&quot;-&quot;)"/>
    <hyperlink ref="H13" r:id="rId37" display="=@IF(G1&gt;H1,&quot;*&quot;,&quot;-&quot;)"/>
    <hyperlink ref="H14" r:id="rId38" display="=@IF(G1&gt;H1,&quot;*&quot;,&quot;-&quot;)"/>
    <hyperlink ref="H15" r:id="rId39" display="=@IF(G1&gt;H1,&quot;*&quot;,&quot;-&quot;)"/>
    <hyperlink ref="H16" r:id="rId40" display="=@IF(G1&gt;H1,&quot;*&quot;,&quot;-&quot;)"/>
    <hyperlink ref="H17" r:id="rId41" display="=@IF(G1&gt;H1,&quot;*&quot;,&quot;-&quot;)"/>
    <hyperlink ref="H18" r:id="rId42" display="=@IF(G1&gt;H1,&quot;*&quot;,&quot;-&quot;)"/>
    <hyperlink ref="H19" r:id="rId43" display="=@IF(G1&gt;H1,&quot;*&quot;,&quot;-&quot;)"/>
  </hyperlinks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7" r:id="rId45"/>
  <drawing r:id="rId44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22"/>
  <sheetViews>
    <sheetView workbookViewId="0" topLeftCell="A1">
      <selection activeCell="D21" sqref="D21"/>
    </sheetView>
  </sheetViews>
  <sheetFormatPr defaultColWidth="9.140625" defaultRowHeight="12.75"/>
  <cols>
    <col min="1" max="1" width="5.421875" style="0" customWidth="1"/>
    <col min="2" max="2" width="11.57421875" style="0" customWidth="1"/>
    <col min="3" max="3" width="101.140625" style="0" customWidth="1"/>
    <col min="4" max="4" width="18.8515625" style="0" customWidth="1"/>
    <col min="5" max="5" width="2.28125" style="0" customWidth="1"/>
  </cols>
  <sheetData>
    <row r="1" spans="1:5" ht="12.75">
      <c r="A1" s="136"/>
      <c r="B1" s="136"/>
      <c r="C1" s="136"/>
      <c r="D1" s="136"/>
      <c r="E1" s="136"/>
    </row>
    <row r="2" spans="1:8" ht="33">
      <c r="A2" s="136"/>
      <c r="B2" s="151"/>
      <c r="C2" s="332" t="s">
        <v>260</v>
      </c>
      <c r="D2" s="151"/>
      <c r="E2" s="136"/>
      <c r="F2" s="11"/>
      <c r="G2" s="11"/>
      <c r="H2" s="11"/>
    </row>
    <row r="3" spans="1:5" ht="12.75">
      <c r="A3" s="136"/>
      <c r="B3" s="136"/>
      <c r="C3" s="136"/>
      <c r="D3" s="136"/>
      <c r="E3" s="136"/>
    </row>
    <row r="4" spans="1:5" s="113" customFormat="1" ht="17.25">
      <c r="A4" s="338" t="s">
        <v>261</v>
      </c>
      <c r="B4" s="331" t="s">
        <v>1</v>
      </c>
      <c r="C4" s="331" t="s">
        <v>2</v>
      </c>
      <c r="D4" s="336" t="s">
        <v>3</v>
      </c>
      <c r="E4" s="337"/>
    </row>
    <row r="5" spans="1:5" ht="13.5">
      <c r="A5" s="339">
        <v>1</v>
      </c>
      <c r="B5" s="471"/>
      <c r="C5" s="472"/>
      <c r="D5" s="473"/>
      <c r="E5" s="136"/>
    </row>
    <row r="6" spans="1:5" ht="13.5">
      <c r="A6" s="339">
        <v>2</v>
      </c>
      <c r="B6" s="472"/>
      <c r="C6" s="472"/>
      <c r="D6" s="473"/>
      <c r="E6" s="136"/>
    </row>
    <row r="7" spans="1:5" ht="13.5">
      <c r="A7" s="339">
        <v>3</v>
      </c>
      <c r="B7" s="472"/>
      <c r="C7" s="472"/>
      <c r="D7" s="473"/>
      <c r="E7" s="136"/>
    </row>
    <row r="8" spans="1:5" ht="13.5">
      <c r="A8" s="339">
        <v>4</v>
      </c>
      <c r="B8" s="472"/>
      <c r="C8" s="472"/>
      <c r="D8" s="473"/>
      <c r="E8" s="136"/>
    </row>
    <row r="9" spans="1:5" ht="13.5">
      <c r="A9" s="339">
        <v>5</v>
      </c>
      <c r="B9" s="472"/>
      <c r="C9" s="472"/>
      <c r="D9" s="473"/>
      <c r="E9" s="136"/>
    </row>
    <row r="10" spans="1:5" ht="13.5">
      <c r="A10" s="339">
        <v>6</v>
      </c>
      <c r="B10" s="472"/>
      <c r="C10" s="472"/>
      <c r="D10" s="473"/>
      <c r="E10" s="136"/>
    </row>
    <row r="11" spans="1:5" ht="13.5">
      <c r="A11" s="339">
        <v>7</v>
      </c>
      <c r="B11" s="472"/>
      <c r="C11" s="472"/>
      <c r="D11" s="473"/>
      <c r="E11" s="136"/>
    </row>
    <row r="12" spans="1:5" ht="13.5">
      <c r="A12" s="339">
        <v>8</v>
      </c>
      <c r="B12" s="472"/>
      <c r="C12" s="472"/>
      <c r="D12" s="473"/>
      <c r="E12" s="136"/>
    </row>
    <row r="13" spans="1:5" ht="13.5">
      <c r="A13" s="339">
        <v>9</v>
      </c>
      <c r="B13" s="472"/>
      <c r="C13" s="472"/>
      <c r="D13" s="473"/>
      <c r="E13" s="136"/>
    </row>
    <row r="14" spans="1:5" ht="13.5">
      <c r="A14" s="339">
        <v>10</v>
      </c>
      <c r="B14" s="472"/>
      <c r="C14" s="472"/>
      <c r="D14" s="473"/>
      <c r="E14" s="136"/>
    </row>
    <row r="15" spans="1:5" ht="13.5">
      <c r="A15" s="339">
        <v>11</v>
      </c>
      <c r="B15" s="472"/>
      <c r="C15" s="472"/>
      <c r="D15" s="473"/>
      <c r="E15" s="136"/>
    </row>
    <row r="16" spans="1:5" ht="13.5">
      <c r="A16" s="339">
        <v>12</v>
      </c>
      <c r="B16" s="472"/>
      <c r="C16" s="472"/>
      <c r="D16" s="473"/>
      <c r="E16" s="136"/>
    </row>
    <row r="17" spans="1:5" ht="13.5">
      <c r="A17" s="339">
        <v>13</v>
      </c>
      <c r="B17" s="472"/>
      <c r="C17" s="472"/>
      <c r="D17" s="473"/>
      <c r="E17" s="136"/>
    </row>
    <row r="18" spans="1:5" ht="13.5">
      <c r="A18" s="339">
        <v>14</v>
      </c>
      <c r="B18" s="472"/>
      <c r="C18" s="472"/>
      <c r="D18" s="473"/>
      <c r="E18" s="136"/>
    </row>
    <row r="19" spans="1:5" ht="13.5">
      <c r="A19" s="339">
        <v>15</v>
      </c>
      <c r="B19" s="472"/>
      <c r="C19" s="472"/>
      <c r="D19" s="473"/>
      <c r="E19" s="136"/>
    </row>
    <row r="20" spans="1:5" ht="13.5">
      <c r="A20" s="334"/>
      <c r="B20" s="334"/>
      <c r="C20" s="334"/>
      <c r="D20" s="340"/>
      <c r="E20" s="136"/>
    </row>
    <row r="21" spans="1:5" ht="22.5">
      <c r="A21" s="136"/>
      <c r="B21" s="151"/>
      <c r="C21" s="333" t="s">
        <v>262</v>
      </c>
      <c r="D21" s="341">
        <f>SUM(D5:D19)</f>
        <v>0</v>
      </c>
      <c r="E21" s="136"/>
    </row>
    <row r="22" spans="1:5" ht="13.5">
      <c r="A22" s="334"/>
      <c r="B22" s="334"/>
      <c r="C22" s="334"/>
      <c r="D22" s="335"/>
      <c r="E22" s="136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I1" sqref="I1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3:9" ht="29.25" thickBot="1" thickTop="1">
      <c r="C1" s="519" t="s">
        <v>71</v>
      </c>
      <c r="I1" s="551" t="s">
        <v>520</v>
      </c>
    </row>
    <row r="2" ht="23.25" thickTop="1">
      <c r="B2" s="520" t="s">
        <v>332</v>
      </c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3.5324307692307695</v>
      </c>
      <c r="G10" s="345">
        <f aca="true" t="shared" si="2" ref="G10:G22">SUM(E10:F10)</f>
        <v>3.5324307692307695</v>
      </c>
      <c r="H10" s="521">
        <v>3</v>
      </c>
    </row>
    <row r="11" spans="1:8" ht="15">
      <c r="A11" s="521">
        <v>4</v>
      </c>
      <c r="B11" s="474">
        <v>3567</v>
      </c>
      <c r="C11" s="474">
        <v>3582</v>
      </c>
      <c r="D11" s="343">
        <f>C11-B11</f>
        <v>15</v>
      </c>
      <c r="E11" s="344">
        <f t="shared" si="0"/>
        <v>21.32762790697674</v>
      </c>
      <c r="F11" s="344">
        <f t="shared" si="1"/>
        <v>3.5324307692307695</v>
      </c>
      <c r="G11" s="345">
        <f t="shared" si="2"/>
        <v>24.860058676207508</v>
      </c>
      <c r="H11" s="521">
        <v>4</v>
      </c>
    </row>
    <row r="12" spans="1:8" ht="15">
      <c r="A12" s="521">
        <v>5</v>
      </c>
      <c r="B12" s="474">
        <v>865</v>
      </c>
      <c r="C12" s="474">
        <v>870</v>
      </c>
      <c r="D12" s="343">
        <f>C12-B12</f>
        <v>5</v>
      </c>
      <c r="E12" s="344">
        <f t="shared" si="0"/>
        <v>7.10920930232558</v>
      </c>
      <c r="F12" s="344">
        <f t="shared" si="1"/>
        <v>3.5324307692307695</v>
      </c>
      <c r="G12" s="345">
        <f t="shared" si="2"/>
        <v>10.641640071556349</v>
      </c>
      <c r="H12" s="521">
        <v>5</v>
      </c>
    </row>
    <row r="13" spans="1:8" ht="15">
      <c r="A13" s="521">
        <v>6</v>
      </c>
      <c r="B13" s="474">
        <v>977</v>
      </c>
      <c r="C13" s="474">
        <v>977</v>
      </c>
      <c r="D13" s="343">
        <f>C13-B13</f>
        <v>0</v>
      </c>
      <c r="E13" s="344">
        <f t="shared" si="0"/>
        <v>0</v>
      </c>
      <c r="F13" s="344">
        <f t="shared" si="1"/>
        <v>3.5324307692307695</v>
      </c>
      <c r="G13" s="345">
        <f t="shared" si="2"/>
        <v>3.5324307692307695</v>
      </c>
      <c r="H13" s="521">
        <v>6</v>
      </c>
    </row>
    <row r="14" spans="1:10" ht="15">
      <c r="A14" s="521">
        <v>7</v>
      </c>
      <c r="B14" s="474">
        <v>1555</v>
      </c>
      <c r="C14" s="474">
        <v>1563</v>
      </c>
      <c r="D14" s="343">
        <f>C14-B14</f>
        <v>8</v>
      </c>
      <c r="E14" s="344">
        <f t="shared" si="0"/>
        <v>11.374734883720928</v>
      </c>
      <c r="F14" s="344">
        <f t="shared" si="1"/>
        <v>3.5324307692307695</v>
      </c>
      <c r="G14" s="345">
        <f t="shared" si="2"/>
        <v>14.907165652951697</v>
      </c>
      <c r="H14" s="521">
        <v>7</v>
      </c>
      <c r="J14" s="217"/>
    </row>
    <row r="15" spans="1:8" ht="15">
      <c r="A15" s="521">
        <v>8</v>
      </c>
      <c r="B15" s="474">
        <v>3453</v>
      </c>
      <c r="C15" s="474">
        <v>3457</v>
      </c>
      <c r="D15" s="343">
        <f aca="true" t="shared" si="3" ref="D15:D22">C15-B15</f>
        <v>4</v>
      </c>
      <c r="E15" s="344">
        <f t="shared" si="0"/>
        <v>5.687367441860464</v>
      </c>
      <c r="F15" s="344">
        <f t="shared" si="1"/>
        <v>3.5324307692307695</v>
      </c>
      <c r="G15" s="345">
        <f t="shared" si="2"/>
        <v>9.219798211091234</v>
      </c>
      <c r="H15" s="521">
        <v>8</v>
      </c>
    </row>
    <row r="16" spans="1:8" ht="15">
      <c r="A16" s="521">
        <v>9</v>
      </c>
      <c r="B16" s="474">
        <v>1115</v>
      </c>
      <c r="C16" s="474">
        <v>1124</v>
      </c>
      <c r="D16" s="343">
        <f t="shared" si="3"/>
        <v>9</v>
      </c>
      <c r="E16" s="344">
        <f t="shared" si="0"/>
        <v>12.796576744186043</v>
      </c>
      <c r="F16" s="344">
        <f t="shared" si="1"/>
        <v>3.5324307692307695</v>
      </c>
      <c r="G16" s="345">
        <f t="shared" si="2"/>
        <v>16.329007513416812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3.5324307692307695</v>
      </c>
      <c r="G17" s="345">
        <f t="shared" si="2"/>
        <v>3.5324307692307695</v>
      </c>
      <c r="H17" s="521">
        <v>10</v>
      </c>
    </row>
    <row r="18" spans="1:8" ht="15">
      <c r="A18" s="521">
        <v>11</v>
      </c>
      <c r="B18" s="474">
        <v>1921</v>
      </c>
      <c r="C18" s="474">
        <v>1926</v>
      </c>
      <c r="D18" s="343">
        <f t="shared" si="3"/>
        <v>5</v>
      </c>
      <c r="E18" s="344">
        <f t="shared" si="0"/>
        <v>7.10920930232558</v>
      </c>
      <c r="F18" s="344">
        <f t="shared" si="1"/>
        <v>3.5324307692307695</v>
      </c>
      <c r="G18" s="345">
        <f t="shared" si="2"/>
        <v>10.641640071556349</v>
      </c>
      <c r="H18" s="521">
        <v>11</v>
      </c>
    </row>
    <row r="19" spans="1:8" ht="15">
      <c r="A19" s="521">
        <v>12</v>
      </c>
      <c r="B19" s="474">
        <v>420</v>
      </c>
      <c r="C19" s="474">
        <v>424</v>
      </c>
      <c r="D19" s="343">
        <f t="shared" si="3"/>
        <v>4</v>
      </c>
      <c r="E19" s="344">
        <f t="shared" si="0"/>
        <v>5.687367441860464</v>
      </c>
      <c r="F19" s="344">
        <f t="shared" si="1"/>
        <v>3.5324307692307695</v>
      </c>
      <c r="G19" s="345">
        <f t="shared" si="2"/>
        <v>9.219798211091234</v>
      </c>
      <c r="H19" s="521">
        <v>12</v>
      </c>
    </row>
    <row r="20" spans="1:8" ht="15">
      <c r="A20" s="521">
        <v>13</v>
      </c>
      <c r="B20" s="474">
        <v>3483</v>
      </c>
      <c r="C20" s="474">
        <v>3493</v>
      </c>
      <c r="D20" s="343">
        <f t="shared" si="3"/>
        <v>10</v>
      </c>
      <c r="E20" s="344">
        <f t="shared" si="0"/>
        <v>14.21841860465116</v>
      </c>
      <c r="F20" s="344">
        <f t="shared" si="1"/>
        <v>3.5324307692307695</v>
      </c>
      <c r="G20" s="345">
        <f t="shared" si="2"/>
        <v>17.750849373881927</v>
      </c>
      <c r="H20" s="521">
        <v>13</v>
      </c>
    </row>
    <row r="21" spans="1:8" ht="15">
      <c r="A21" s="521">
        <v>14</v>
      </c>
      <c r="B21" s="474">
        <v>1226</v>
      </c>
      <c r="C21" s="474">
        <v>1239</v>
      </c>
      <c r="D21" s="343">
        <f t="shared" si="3"/>
        <v>13</v>
      </c>
      <c r="E21" s="344">
        <f t="shared" si="0"/>
        <v>18.483944186046507</v>
      </c>
      <c r="F21" s="344">
        <f t="shared" si="1"/>
        <v>3.5324307692307695</v>
      </c>
      <c r="G21" s="345">
        <f t="shared" si="2"/>
        <v>22.01637495527728</v>
      </c>
      <c r="H21" s="521">
        <v>14</v>
      </c>
    </row>
    <row r="22" spans="1:10" ht="15">
      <c r="A22" s="521" t="s">
        <v>16</v>
      </c>
      <c r="B22" s="474">
        <v>1767</v>
      </c>
      <c r="C22" s="474">
        <v>1780</v>
      </c>
      <c r="D22" s="343">
        <f t="shared" si="3"/>
        <v>13</v>
      </c>
      <c r="E22" s="344">
        <f t="shared" si="0"/>
        <v>18.483944186046507</v>
      </c>
      <c r="F22" s="344">
        <f>$F$28/13</f>
        <v>3.5324307692307695</v>
      </c>
      <c r="G22" s="345">
        <f t="shared" si="2"/>
        <v>22.01637495527728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J23" s="217"/>
    </row>
    <row r="24" spans="1:10" ht="15">
      <c r="A24" s="104" t="s">
        <v>52</v>
      </c>
      <c r="B24" s="182"/>
      <c r="C24" s="182"/>
      <c r="D24" s="182">
        <f>SUM(D10:D23)</f>
        <v>86</v>
      </c>
      <c r="E24" s="223">
        <f>SUM(E10:E23)</f>
        <v>122.27839999999995</v>
      </c>
      <c r="F24" s="223">
        <f>SUM(F10:F23)</f>
        <v>45.92160000000002</v>
      </c>
      <c r="G24" s="224">
        <f>SUM(G10:G23)</f>
        <v>168.2</v>
      </c>
      <c r="H24" s="104"/>
      <c r="I24" s="217"/>
      <c r="J24" s="512"/>
    </row>
    <row r="25" spans="1:9" ht="15">
      <c r="A25" s="10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476">
        <v>103</v>
      </c>
      <c r="E28" s="252">
        <f>G28-F28</f>
        <v>122.27839999999998</v>
      </c>
      <c r="F28" s="475">
        <f>(25.17+1.1)*1.08+0.04+17.51</f>
        <v>45.921600000000005</v>
      </c>
      <c r="G28" s="475">
        <v>168.2</v>
      </c>
      <c r="H28" s="104"/>
      <c r="I28" s="253"/>
      <c r="J28" s="253"/>
    </row>
    <row r="29" ht="12.75">
      <c r="I29" s="325"/>
    </row>
    <row r="30" ht="12.75">
      <c r="D30" s="497"/>
    </row>
    <row r="31" spans="1:8" ht="17.25">
      <c r="A31" s="477" t="s">
        <v>333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35433070866141736" right="0.35433070866141736" top="0.3937007874015748" bottom="0.5905511811023623" header="0.5118110236220472" footer="0.5118110236220472"/>
  <pageSetup fitToHeight="1" fitToWidth="1" orientation="landscape" paperSize="9" r:id="rId1"/>
  <ignoredErrors>
    <ignoredError sqref="F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5">
    <tabColor indexed="62"/>
  </sheetPr>
  <dimension ref="A1:I29"/>
  <sheetViews>
    <sheetView workbookViewId="0" topLeftCell="A1">
      <selection activeCell="B68" sqref="B68"/>
    </sheetView>
  </sheetViews>
  <sheetFormatPr defaultColWidth="9.140625" defaultRowHeight="12.75"/>
  <cols>
    <col min="1" max="1" width="5.28125" style="109" customWidth="1"/>
    <col min="2" max="2" width="27.28125" style="0" customWidth="1"/>
    <col min="3" max="3" width="20.8515625" style="12" customWidth="1"/>
    <col min="4" max="4" width="8.00390625" style="201" customWidth="1"/>
    <col min="5" max="5" width="6.28125" style="0" customWidth="1"/>
    <col min="6" max="6" width="29.140625" style="0" customWidth="1"/>
    <col min="7" max="7" width="20.8515625" style="12" customWidth="1"/>
    <col min="8" max="8" width="8.28125" style="202" customWidth="1"/>
  </cols>
  <sheetData>
    <row r="1" spans="2:6" ht="20.25">
      <c r="B1" s="557" t="s">
        <v>178</v>
      </c>
      <c r="C1" s="557"/>
      <c r="D1" s="557"/>
      <c r="E1" s="557"/>
      <c r="F1" s="557"/>
    </row>
    <row r="2" spans="2:9" ht="20.25">
      <c r="B2" s="146" t="str">
        <f>Ref!E1</f>
        <v>2007 - 2008</v>
      </c>
      <c r="C2" s="213" t="s">
        <v>259</v>
      </c>
      <c r="D2" s="146"/>
      <c r="E2" s="140"/>
      <c r="F2" s="140"/>
      <c r="G2" s="215"/>
      <c r="I2" s="127"/>
    </row>
    <row r="3" ht="12" customHeight="1">
      <c r="A3" s="128" t="s">
        <v>136</v>
      </c>
    </row>
    <row r="4" spans="1:8" ht="18">
      <c r="A4" s="128" t="s">
        <v>142</v>
      </c>
      <c r="B4" s="145" t="s">
        <v>124</v>
      </c>
      <c r="C4" s="214" t="s">
        <v>176</v>
      </c>
      <c r="D4" s="205" t="s">
        <v>177</v>
      </c>
      <c r="F4" s="206" t="s">
        <v>141</v>
      </c>
      <c r="G4" s="216"/>
      <c r="H4" s="207" t="s">
        <v>177</v>
      </c>
    </row>
    <row r="5" spans="1:8" ht="12.75">
      <c r="A5" s="109">
        <v>0</v>
      </c>
      <c r="B5" s="141" t="s">
        <v>139</v>
      </c>
      <c r="C5" s="225">
        <f>SUMIF(Ekstre!$E$13:Ekstre!$E$5392,"=0",Ekstre!$D$13:Ekstre!$D$5392)</f>
        <v>0</v>
      </c>
      <c r="D5" s="203">
        <f>C5/C$22</f>
        <v>0</v>
      </c>
      <c r="F5" s="143" t="s">
        <v>139</v>
      </c>
      <c r="G5" s="229">
        <f>Ekstre!D2</f>
        <v>1483.38</v>
      </c>
      <c r="H5" s="203">
        <f aca="true" t="shared" si="0" ref="H5:H11">G5/G$22</f>
        <v>0.05690167469786163</v>
      </c>
    </row>
    <row r="6" spans="1:8" ht="12.75">
      <c r="A6" s="109">
        <v>1</v>
      </c>
      <c r="B6" s="141" t="s">
        <v>125</v>
      </c>
      <c r="C6" s="225">
        <f>SUMIF(Ekstre!$E$13:Ekstre!$E$5392,"=1",Ekstre!$D$13:Ekstre!$D$5392)</f>
        <v>6449</v>
      </c>
      <c r="D6" s="558">
        <f>(C6+C7+C8+C9)/C22</f>
        <v>0.4190003070718327</v>
      </c>
      <c r="F6" s="144" t="s">
        <v>140</v>
      </c>
      <c r="G6" s="342">
        <f>1!C21+2!C21+3!C21+4!C21+5!C21+6!C21+7!C21+8!C21+9!C21+'10'!C21+'11'!C21+'12'!C21+'13'!C21+'14'!C21+'16'!C21+'16A'!C21+'16B'!C21+2A!C21+2B!C21</f>
        <v>24392</v>
      </c>
      <c r="H6" s="203">
        <f t="shared" si="0"/>
        <v>0.9356642594818865</v>
      </c>
    </row>
    <row r="7" spans="1:8" ht="12.75">
      <c r="A7" s="109">
        <v>2</v>
      </c>
      <c r="B7" s="141" t="s">
        <v>126</v>
      </c>
      <c r="C7" s="225">
        <f>SUMIF(Ekstre!$E$13:Ekstre!$E$5392,"=2",Ekstre!$D$13:Ekstre!$D$5392)</f>
        <v>2779.540000000001</v>
      </c>
      <c r="D7" s="559"/>
      <c r="F7" s="308" t="s">
        <v>226</v>
      </c>
      <c r="G7" s="230">
        <f>Fon!I76</f>
        <v>193.79999999999382</v>
      </c>
      <c r="H7" s="203">
        <f t="shared" si="0"/>
        <v>0.007434065820251879</v>
      </c>
    </row>
    <row r="8" spans="1:8" ht="12.75">
      <c r="A8" s="109">
        <v>3</v>
      </c>
      <c r="B8" s="141" t="s">
        <v>127</v>
      </c>
      <c r="C8" s="225">
        <f>SUMIF(Ekstre!$E$13:Ekstre!$E$5392,"=3",Ekstre!$D$13:Ekstre!$D$5392)</f>
        <v>1000</v>
      </c>
      <c r="D8" s="559"/>
      <c r="F8" s="308" t="s">
        <v>227</v>
      </c>
      <c r="G8" s="230">
        <f>FonKıdem!I26</f>
        <v>0</v>
      </c>
      <c r="H8" s="203">
        <f t="shared" si="0"/>
        <v>0</v>
      </c>
    </row>
    <row r="9" spans="1:8" ht="12.75">
      <c r="A9" s="109">
        <v>4</v>
      </c>
      <c r="B9" s="141" t="s">
        <v>128</v>
      </c>
      <c r="C9" s="225">
        <f>SUMIF(Ekstre!$E$13:Ekstre!$E$5392,"=4",Ekstre!$D$13:Ekstre!$D$5392)</f>
        <v>360</v>
      </c>
      <c r="D9" s="560"/>
      <c r="F9" s="309" t="s">
        <v>207</v>
      </c>
      <c r="G9" s="230">
        <f>Tahvil!L23</f>
        <v>0</v>
      </c>
      <c r="H9" s="203">
        <f t="shared" si="0"/>
        <v>0</v>
      </c>
    </row>
    <row r="10" spans="1:8" ht="12.75">
      <c r="A10" s="109">
        <v>5</v>
      </c>
      <c r="B10" s="142" t="s">
        <v>130</v>
      </c>
      <c r="C10" s="225">
        <f>SUMIF(Ekstre!$E$13:Ekstre!$E$5392,"=5",Ekstre!$D$13:Ekstre!$D$5392)</f>
        <v>7545</v>
      </c>
      <c r="D10" s="203">
        <f aca="true" t="shared" si="1" ref="D10:D22">C10/C$22</f>
        <v>0.2985640434712413</v>
      </c>
      <c r="F10" s="144" t="s">
        <v>143</v>
      </c>
      <c r="G10" s="230">
        <v>0</v>
      </c>
      <c r="H10" s="203">
        <f t="shared" si="0"/>
        <v>0</v>
      </c>
    </row>
    <row r="11" spans="1:8" ht="12.75">
      <c r="A11" s="109">
        <v>6</v>
      </c>
      <c r="B11" s="142" t="s">
        <v>131</v>
      </c>
      <c r="C11" s="225">
        <f>SUMIF(Ekstre!$E$13:Ekstre!$E$5392,"=6",Ekstre!$D$13:Ekstre!$D$5392)</f>
        <v>891.6</v>
      </c>
      <c r="D11" s="203">
        <f t="shared" si="1"/>
        <v>0.035281603864673126</v>
      </c>
      <c r="F11" s="144" t="s">
        <v>145</v>
      </c>
      <c r="G11" s="230">
        <f>SairGelirler!D21</f>
        <v>0</v>
      </c>
      <c r="H11" s="203">
        <f t="shared" si="0"/>
        <v>0</v>
      </c>
    </row>
    <row r="12" spans="1:8" ht="12.75">
      <c r="A12" s="109">
        <v>7</v>
      </c>
      <c r="B12" s="142" t="s">
        <v>15</v>
      </c>
      <c r="C12" s="225">
        <f>SUMIF(Ekstre!$E$13:Ekstre!$E$5392,"=7",Ekstre!$D$13:Ekstre!$D$5392)</f>
        <v>490.05</v>
      </c>
      <c r="D12" s="203">
        <f t="shared" si="1"/>
        <v>0.019391823658460147</v>
      </c>
      <c r="F12" s="144"/>
      <c r="G12" s="230"/>
      <c r="H12" s="203"/>
    </row>
    <row r="13" spans="1:8" ht="12.75">
      <c r="A13" s="109">
        <v>8</v>
      </c>
      <c r="B13" s="142" t="s">
        <v>16</v>
      </c>
      <c r="C13" s="225">
        <f>SUMIF(Ekstre!$E$13:Ekstre!$E$5392,"=8",Ekstre!$D$13:Ekstre!$D$5392)</f>
        <v>219.63000000000002</v>
      </c>
      <c r="D13" s="203">
        <f t="shared" si="1"/>
        <v>0.008691003428441185</v>
      </c>
      <c r="F13" s="144"/>
      <c r="G13" s="230"/>
      <c r="H13" s="203"/>
    </row>
    <row r="14" spans="1:8" ht="12.75">
      <c r="A14" s="109">
        <v>9</v>
      </c>
      <c r="B14" s="142" t="s">
        <v>132</v>
      </c>
      <c r="C14" s="225">
        <f>SUMIF(Ekstre!$E$13:Ekstre!$E$5392,"=9",Ekstre!$D$13:Ekstre!$D$5392)</f>
        <v>1924.34</v>
      </c>
      <c r="D14" s="203">
        <f t="shared" si="1"/>
        <v>0.07614827454121252</v>
      </c>
      <c r="F14" s="144"/>
      <c r="G14" s="230"/>
      <c r="H14" s="203"/>
    </row>
    <row r="15" spans="1:8" ht="12.75">
      <c r="A15" s="109">
        <v>10</v>
      </c>
      <c r="B15" s="142" t="s">
        <v>129</v>
      </c>
      <c r="C15" s="225">
        <f>SUMIF(Ekstre!$E$13:Ekstre!$E$5392,"=10",Ekstre!$D$13:Ekstre!$D$5392)</f>
        <v>1302</v>
      </c>
      <c r="D15" s="203">
        <f t="shared" si="1"/>
        <v>0.051521588416110826</v>
      </c>
      <c r="F15" s="144"/>
      <c r="G15" s="230"/>
      <c r="H15" s="203"/>
    </row>
    <row r="16" spans="1:8" ht="12.75">
      <c r="A16" s="109">
        <v>11</v>
      </c>
      <c r="B16" s="142" t="s">
        <v>133</v>
      </c>
      <c r="C16" s="225">
        <f>SUMIF(Ekstre!$E$13:Ekstre!$E$5392,"=11",Ekstre!$D$13:Ekstre!$D$5392)</f>
        <v>0</v>
      </c>
      <c r="D16" s="203">
        <f t="shared" si="1"/>
        <v>0</v>
      </c>
      <c r="F16" s="144"/>
      <c r="G16" s="230"/>
      <c r="H16" s="203"/>
    </row>
    <row r="17" spans="1:8" ht="12.75">
      <c r="A17" s="109">
        <v>12</v>
      </c>
      <c r="B17" s="142" t="s">
        <v>146</v>
      </c>
      <c r="C17" s="225">
        <f>SUMIF(Ekstre!$E$13:Ekstre!$E$5392,"=12",Ekstre!$D$13:Ekstre!$D$5392)</f>
        <v>2050</v>
      </c>
      <c r="D17" s="203">
        <f t="shared" si="1"/>
        <v>0.08112078053227895</v>
      </c>
      <c r="F17" s="144"/>
      <c r="G17" s="230"/>
      <c r="H17" s="203"/>
    </row>
    <row r="18" spans="1:8" ht="12.75">
      <c r="A18" s="109">
        <v>13</v>
      </c>
      <c r="B18" s="142" t="s">
        <v>147</v>
      </c>
      <c r="C18" s="225">
        <f>SUMIF(Ekstre!$E$13:Ekstre!$E$5392,"=13",Ekstre!$D$13:Ekstre!$D$5392)</f>
        <v>20</v>
      </c>
      <c r="D18" s="203">
        <f t="shared" si="1"/>
        <v>0.0007914222490954044</v>
      </c>
      <c r="F18" s="144"/>
      <c r="G18" s="230"/>
      <c r="H18" s="203"/>
    </row>
    <row r="19" spans="1:8" ht="12.75">
      <c r="A19" s="109">
        <v>14</v>
      </c>
      <c r="B19" s="142" t="s">
        <v>134</v>
      </c>
      <c r="C19" s="225">
        <f>SUMIF(Ekstre!$E$13:Ekstre!$E$5392,"=14",Ekstre!$D$13:Ekstre!$D$5392)</f>
        <v>238.8</v>
      </c>
      <c r="D19" s="203">
        <f t="shared" si="1"/>
        <v>0.00944958165419913</v>
      </c>
      <c r="F19" s="144"/>
      <c r="G19" s="230"/>
      <c r="H19" s="203"/>
    </row>
    <row r="20" spans="1:8" ht="12.75">
      <c r="A20" s="109">
        <v>15</v>
      </c>
      <c r="B20" s="142" t="s">
        <v>135</v>
      </c>
      <c r="C20" s="225">
        <f>SUMIF(Ekstre!$E$13:Ekstre!$E$5392,"=15",Ekstre!$D$13:Ekstre!$D$5392)</f>
        <v>0</v>
      </c>
      <c r="D20" s="203">
        <f t="shared" si="1"/>
        <v>0</v>
      </c>
      <c r="F20" s="144"/>
      <c r="G20" s="230"/>
      <c r="H20" s="203"/>
    </row>
    <row r="21" spans="1:8" ht="13.5" thickBot="1">
      <c r="A21" s="109">
        <v>16</v>
      </c>
      <c r="B21" s="194" t="s">
        <v>24</v>
      </c>
      <c r="C21" s="226">
        <f>SUMIF(Ekstre!$E$13:Ekstre!$E$5392,"=16",Ekstre!$D$13:Ekstre!$D$5392)</f>
        <v>1</v>
      </c>
      <c r="D21" s="208">
        <f t="shared" si="1"/>
        <v>3.957111245477022E-05</v>
      </c>
      <c r="F21" s="196"/>
      <c r="G21" s="231"/>
      <c r="H21" s="208"/>
    </row>
    <row r="22" spans="2:8" ht="18" customHeight="1" thickTop="1">
      <c r="B22" s="195" t="s">
        <v>179</v>
      </c>
      <c r="C22" s="227">
        <f>SUM(C5:C21)</f>
        <v>25270.96</v>
      </c>
      <c r="D22" s="209">
        <f t="shared" si="1"/>
        <v>1</v>
      </c>
      <c r="F22" s="198" t="s">
        <v>180</v>
      </c>
      <c r="G22" s="227">
        <f>SUM(G5:G21)</f>
        <v>26069.179999999993</v>
      </c>
      <c r="H22" s="209">
        <f>SUM(H5:H21)</f>
        <v>1</v>
      </c>
    </row>
    <row r="23" spans="2:8" ht="12.75">
      <c r="B23" s="193" t="s">
        <v>171</v>
      </c>
      <c r="C23" s="228">
        <f>Ekstre!H3</f>
        <v>24.65</v>
      </c>
      <c r="D23" s="200"/>
      <c r="F23" s="193"/>
      <c r="G23" s="228"/>
      <c r="H23" s="199"/>
    </row>
    <row r="24" spans="2:8" ht="12.75">
      <c r="B24" s="193" t="s">
        <v>175</v>
      </c>
      <c r="C24" s="228">
        <v>0</v>
      </c>
      <c r="D24" s="204"/>
      <c r="F24" s="193"/>
      <c r="G24" s="228"/>
      <c r="H24" s="199"/>
    </row>
    <row r="25" spans="2:8" ht="12.75">
      <c r="B25" s="193" t="s">
        <v>174</v>
      </c>
      <c r="C25" s="228">
        <f>Fon!G76</f>
        <v>773.57</v>
      </c>
      <c r="D25" s="204"/>
      <c r="F25" s="193"/>
      <c r="G25" s="228"/>
      <c r="H25" s="199"/>
    </row>
    <row r="26" spans="2:8" ht="12.75">
      <c r="B26" s="193" t="s">
        <v>170</v>
      </c>
      <c r="C26" s="228">
        <f>FonKıdem!G26</f>
        <v>0</v>
      </c>
      <c r="D26" s="204"/>
      <c r="F26" s="193"/>
      <c r="G26" s="228"/>
      <c r="H26" s="199"/>
    </row>
    <row r="27" spans="2:8" ht="12.75">
      <c r="B27" s="280" t="s">
        <v>206</v>
      </c>
      <c r="C27" s="281">
        <f>Tahvil!N23</f>
        <v>0</v>
      </c>
      <c r="D27" s="204"/>
      <c r="F27" s="193"/>
      <c r="G27" s="228"/>
      <c r="H27" s="199"/>
    </row>
    <row r="28" spans="2:8" ht="13.5" thickBot="1">
      <c r="B28" s="193" t="s">
        <v>173</v>
      </c>
      <c r="C28" s="228">
        <f>IF(Ekstre!$H7&gt;=0,Ekstre!$H7,0)</f>
        <v>0</v>
      </c>
      <c r="D28" s="211"/>
      <c r="F28" s="193" t="s">
        <v>172</v>
      </c>
      <c r="G28" s="228">
        <f>IF(Ekstre!$H7&lt;=0,-Ekstre!$H7,0)</f>
        <v>9.777068044058979E-12</v>
      </c>
      <c r="H28" s="212"/>
    </row>
    <row r="29" spans="2:8" ht="18" customHeight="1" thickTop="1">
      <c r="B29" s="197" t="s">
        <v>181</v>
      </c>
      <c r="C29" s="282">
        <f>SUM(C22:C28)</f>
        <v>26069.18</v>
      </c>
      <c r="D29" s="210"/>
      <c r="F29" s="197" t="s">
        <v>180</v>
      </c>
      <c r="G29" s="282">
        <f>SUM(G22:G28)</f>
        <v>26069.180000000004</v>
      </c>
      <c r="H29" s="210"/>
    </row>
  </sheetData>
  <sheetProtection sheet="1" objects="1" scenarios="1"/>
  <mergeCells count="2">
    <mergeCell ref="B1:F1"/>
    <mergeCell ref="D6:D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I1" sqref="I1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3:9" ht="29.25" thickBot="1" thickTop="1">
      <c r="C1" s="519" t="s">
        <v>71</v>
      </c>
      <c r="I1" s="551" t="s">
        <v>520</v>
      </c>
    </row>
    <row r="2" ht="23.25" thickTop="1">
      <c r="B2" s="520" t="s">
        <v>353</v>
      </c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3.4378153846153854</v>
      </c>
      <c r="G10" s="345">
        <f aca="true" t="shared" si="2" ref="G10:G22">SUM(E10:F10)</f>
        <v>3.4378153846153854</v>
      </c>
      <c r="H10" s="521">
        <v>3</v>
      </c>
    </row>
    <row r="11" spans="1:8" ht="15">
      <c r="A11" s="521">
        <v>4</v>
      </c>
      <c r="B11" s="474">
        <v>3582</v>
      </c>
      <c r="C11" s="474">
        <v>3602</v>
      </c>
      <c r="D11" s="343">
        <f>C11-B11</f>
        <v>20</v>
      </c>
      <c r="E11" s="344">
        <f t="shared" si="0"/>
        <v>30.799567567567568</v>
      </c>
      <c r="F11" s="344">
        <f t="shared" si="1"/>
        <v>3.4378153846153854</v>
      </c>
      <c r="G11" s="345">
        <f t="shared" si="2"/>
        <v>34.237382952182955</v>
      </c>
      <c r="H11" s="521">
        <v>4</v>
      </c>
    </row>
    <row r="12" spans="1:8" ht="15">
      <c r="A12" s="521">
        <v>5</v>
      </c>
      <c r="B12" s="474">
        <v>870</v>
      </c>
      <c r="C12" s="474">
        <v>875</v>
      </c>
      <c r="D12" s="343">
        <f>C12-B12</f>
        <v>5</v>
      </c>
      <c r="E12" s="344">
        <f t="shared" si="0"/>
        <v>7.699891891891892</v>
      </c>
      <c r="F12" s="344">
        <f t="shared" si="1"/>
        <v>3.4378153846153854</v>
      </c>
      <c r="G12" s="345">
        <f t="shared" si="2"/>
        <v>11.137707276507278</v>
      </c>
      <c r="H12" s="521">
        <v>5</v>
      </c>
    </row>
    <row r="13" spans="1:8" ht="15">
      <c r="A13" s="521">
        <v>6</v>
      </c>
      <c r="B13" s="474">
        <v>977</v>
      </c>
      <c r="C13" s="474">
        <v>978</v>
      </c>
      <c r="D13" s="343">
        <f>C13-B13</f>
        <v>1</v>
      </c>
      <c r="E13" s="344">
        <f t="shared" si="0"/>
        <v>1.5399783783783783</v>
      </c>
      <c r="F13" s="344">
        <f t="shared" si="1"/>
        <v>3.4378153846153854</v>
      </c>
      <c r="G13" s="345">
        <f t="shared" si="2"/>
        <v>4.977793762993763</v>
      </c>
      <c r="H13" s="521">
        <v>6</v>
      </c>
    </row>
    <row r="14" spans="1:10" ht="15">
      <c r="A14" s="521">
        <v>7</v>
      </c>
      <c r="B14" s="474">
        <v>1563</v>
      </c>
      <c r="C14" s="474">
        <v>1568</v>
      </c>
      <c r="D14" s="343">
        <f>C14-B14</f>
        <v>5</v>
      </c>
      <c r="E14" s="344">
        <f t="shared" si="0"/>
        <v>7.699891891891892</v>
      </c>
      <c r="F14" s="344">
        <f t="shared" si="1"/>
        <v>3.4378153846153854</v>
      </c>
      <c r="G14" s="345">
        <f t="shared" si="2"/>
        <v>11.137707276507278</v>
      </c>
      <c r="H14" s="521">
        <v>7</v>
      </c>
      <c r="J14" s="217"/>
    </row>
    <row r="15" spans="1:8" ht="15">
      <c r="A15" s="521">
        <v>8</v>
      </c>
      <c r="B15" s="474">
        <v>3457</v>
      </c>
      <c r="C15" s="474">
        <v>3460</v>
      </c>
      <c r="D15" s="343">
        <f aca="true" t="shared" si="3" ref="D15:D22">C15-B15</f>
        <v>3</v>
      </c>
      <c r="E15" s="344">
        <f t="shared" si="0"/>
        <v>4.619935135135135</v>
      </c>
      <c r="F15" s="344">
        <f t="shared" si="1"/>
        <v>3.4378153846153854</v>
      </c>
      <c r="G15" s="345">
        <f t="shared" si="2"/>
        <v>8.05775051975052</v>
      </c>
      <c r="H15" s="521">
        <v>8</v>
      </c>
    </row>
    <row r="16" spans="1:8" ht="15">
      <c r="A16" s="521">
        <v>9</v>
      </c>
      <c r="B16" s="474">
        <v>1124</v>
      </c>
      <c r="C16" s="474">
        <v>1133</v>
      </c>
      <c r="D16" s="343">
        <f t="shared" si="3"/>
        <v>9</v>
      </c>
      <c r="E16" s="344">
        <f t="shared" si="0"/>
        <v>13.859805405405407</v>
      </c>
      <c r="F16" s="344">
        <f t="shared" si="1"/>
        <v>3.4378153846153854</v>
      </c>
      <c r="G16" s="345">
        <f t="shared" si="2"/>
        <v>17.297620790020794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3.4378153846153854</v>
      </c>
      <c r="G17" s="345">
        <f t="shared" si="2"/>
        <v>3.4378153846153854</v>
      </c>
      <c r="H17" s="521">
        <v>10</v>
      </c>
    </row>
    <row r="18" spans="1:8" ht="15">
      <c r="A18" s="521">
        <v>11</v>
      </c>
      <c r="B18" s="474">
        <v>1926</v>
      </c>
      <c r="C18" s="474">
        <v>1930</v>
      </c>
      <c r="D18" s="343">
        <f t="shared" si="3"/>
        <v>4</v>
      </c>
      <c r="E18" s="344">
        <f t="shared" si="0"/>
        <v>6.159913513513513</v>
      </c>
      <c r="F18" s="344">
        <f t="shared" si="1"/>
        <v>3.4378153846153854</v>
      </c>
      <c r="G18" s="345">
        <f t="shared" si="2"/>
        <v>9.5977288981289</v>
      </c>
      <c r="H18" s="521">
        <v>11</v>
      </c>
    </row>
    <row r="19" spans="1:8" ht="15">
      <c r="A19" s="521">
        <v>12</v>
      </c>
      <c r="B19" s="474">
        <v>424</v>
      </c>
      <c r="C19" s="474">
        <v>424</v>
      </c>
      <c r="D19" s="343">
        <f t="shared" si="3"/>
        <v>0</v>
      </c>
      <c r="E19" s="344">
        <f t="shared" si="0"/>
        <v>0</v>
      </c>
      <c r="F19" s="344">
        <f t="shared" si="1"/>
        <v>3.4378153846153854</v>
      </c>
      <c r="G19" s="345">
        <f t="shared" si="2"/>
        <v>3.4378153846153854</v>
      </c>
      <c r="H19" s="521">
        <v>12</v>
      </c>
    </row>
    <row r="20" spans="1:8" ht="15">
      <c r="A20" s="521">
        <v>13</v>
      </c>
      <c r="B20" s="474">
        <v>3493</v>
      </c>
      <c r="C20" s="474">
        <v>3500</v>
      </c>
      <c r="D20" s="343">
        <f t="shared" si="3"/>
        <v>7</v>
      </c>
      <c r="E20" s="344">
        <f t="shared" si="0"/>
        <v>10.779848648648649</v>
      </c>
      <c r="F20" s="344">
        <f t="shared" si="1"/>
        <v>3.4378153846153854</v>
      </c>
      <c r="G20" s="345">
        <f t="shared" si="2"/>
        <v>14.217664033264034</v>
      </c>
      <c r="H20" s="521">
        <v>13</v>
      </c>
    </row>
    <row r="21" spans="1:8" ht="15">
      <c r="A21" s="521">
        <v>14</v>
      </c>
      <c r="B21" s="474">
        <v>1239</v>
      </c>
      <c r="C21" s="474">
        <v>1248</v>
      </c>
      <c r="D21" s="343">
        <f t="shared" si="3"/>
        <v>9</v>
      </c>
      <c r="E21" s="344">
        <f t="shared" si="0"/>
        <v>13.859805405405407</v>
      </c>
      <c r="F21" s="344">
        <f t="shared" si="1"/>
        <v>3.4378153846153854</v>
      </c>
      <c r="G21" s="345">
        <f t="shared" si="2"/>
        <v>17.297620790020794</v>
      </c>
      <c r="H21" s="521">
        <v>14</v>
      </c>
    </row>
    <row r="22" spans="1:10" ht="15">
      <c r="A22" s="521" t="s">
        <v>16</v>
      </c>
      <c r="B22" s="474">
        <v>1780</v>
      </c>
      <c r="C22" s="474">
        <v>1791</v>
      </c>
      <c r="D22" s="343">
        <f t="shared" si="3"/>
        <v>11</v>
      </c>
      <c r="E22" s="344">
        <f t="shared" si="0"/>
        <v>16.93976216216216</v>
      </c>
      <c r="F22" s="344">
        <f>$F$28/13</f>
        <v>3.4378153846153854</v>
      </c>
      <c r="G22" s="345">
        <f t="shared" si="2"/>
        <v>20.377577546777545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J23" s="217"/>
    </row>
    <row r="24" spans="1:10" ht="15">
      <c r="A24" s="104" t="s">
        <v>52</v>
      </c>
      <c r="B24" s="182"/>
      <c r="C24" s="182"/>
      <c r="D24" s="182">
        <f>SUM(D10:D23)</f>
        <v>74</v>
      </c>
      <c r="E24" s="223">
        <f>SUM(E10:E23)</f>
        <v>113.95840000000001</v>
      </c>
      <c r="F24" s="223">
        <f>SUM(F10:F23)</f>
        <v>44.691599999999994</v>
      </c>
      <c r="G24" s="224">
        <f>SUM(G10:G23)</f>
        <v>158.65000000000003</v>
      </c>
      <c r="H24" s="104"/>
      <c r="I24" s="217"/>
      <c r="J24" s="512"/>
    </row>
    <row r="25" spans="1:9" ht="15">
      <c r="A25" s="10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476">
        <v>96</v>
      </c>
      <c r="E28" s="252">
        <f>G28-F28</f>
        <v>113.9584</v>
      </c>
      <c r="F28" s="475">
        <f>(25.17+1.1)*1.08+16.32</f>
        <v>44.69160000000001</v>
      </c>
      <c r="G28" s="475">
        <v>158.65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354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1" r:id="rId1"/>
  <ignoredErrors>
    <ignoredError sqref="F28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I1" sqref="I1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3:9" ht="29.25" thickBot="1" thickTop="1">
      <c r="C1" s="519" t="s">
        <v>71</v>
      </c>
      <c r="I1" s="551" t="s">
        <v>520</v>
      </c>
    </row>
    <row r="2" ht="23.25" thickTop="1">
      <c r="B2" s="520" t="s">
        <v>387</v>
      </c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3.923076923076924</v>
      </c>
      <c r="G10" s="345">
        <f aca="true" t="shared" si="2" ref="G10:G22">SUM(E10:F10)</f>
        <v>3.923076923076924</v>
      </c>
      <c r="H10" s="521">
        <v>3</v>
      </c>
    </row>
    <row r="11" spans="1:8" ht="15">
      <c r="A11" s="521">
        <v>4</v>
      </c>
      <c r="B11" s="474">
        <v>3602</v>
      </c>
      <c r="C11" s="474">
        <v>3608</v>
      </c>
      <c r="D11" s="343">
        <f>C11-B11</f>
        <v>6</v>
      </c>
      <c r="E11" s="344">
        <f t="shared" si="0"/>
        <v>8.935384615384617</v>
      </c>
      <c r="F11" s="344">
        <f t="shared" si="1"/>
        <v>3.923076923076924</v>
      </c>
      <c r="G11" s="345">
        <f t="shared" si="2"/>
        <v>12.85846153846154</v>
      </c>
      <c r="H11" s="521">
        <v>4</v>
      </c>
    </row>
    <row r="12" spans="1:8" ht="15">
      <c r="A12" s="521">
        <v>5</v>
      </c>
      <c r="B12" s="474">
        <v>875</v>
      </c>
      <c r="C12" s="474">
        <v>880</v>
      </c>
      <c r="D12" s="343">
        <f>C12-B12</f>
        <v>5</v>
      </c>
      <c r="E12" s="344">
        <f t="shared" si="0"/>
        <v>7.446153846153847</v>
      </c>
      <c r="F12" s="344">
        <f t="shared" si="1"/>
        <v>3.923076923076924</v>
      </c>
      <c r="G12" s="345">
        <f t="shared" si="2"/>
        <v>11.369230769230771</v>
      </c>
      <c r="H12" s="521">
        <v>5</v>
      </c>
    </row>
    <row r="13" spans="1:8" ht="15">
      <c r="A13" s="521">
        <v>6</v>
      </c>
      <c r="B13" s="474">
        <v>978</v>
      </c>
      <c r="C13" s="474">
        <v>981</v>
      </c>
      <c r="D13" s="343">
        <f>C13-B13</f>
        <v>3</v>
      </c>
      <c r="E13" s="344">
        <f t="shared" si="0"/>
        <v>4.4676923076923085</v>
      </c>
      <c r="F13" s="344">
        <f t="shared" si="1"/>
        <v>3.923076923076924</v>
      </c>
      <c r="G13" s="345">
        <f t="shared" si="2"/>
        <v>8.390769230769232</v>
      </c>
      <c r="H13" s="521">
        <v>6</v>
      </c>
    </row>
    <row r="14" spans="1:10" ht="15">
      <c r="A14" s="521">
        <v>7</v>
      </c>
      <c r="B14" s="474">
        <v>1568</v>
      </c>
      <c r="C14" s="474">
        <v>1576</v>
      </c>
      <c r="D14" s="343">
        <f>C14-B14</f>
        <v>8</v>
      </c>
      <c r="E14" s="344">
        <f t="shared" si="0"/>
        <v>11.913846153846155</v>
      </c>
      <c r="F14" s="344">
        <f t="shared" si="1"/>
        <v>3.923076923076924</v>
      </c>
      <c r="G14" s="345">
        <f t="shared" si="2"/>
        <v>15.836923076923078</v>
      </c>
      <c r="H14" s="521">
        <v>7</v>
      </c>
      <c r="J14" s="217"/>
    </row>
    <row r="15" spans="1:8" ht="15">
      <c r="A15" s="521">
        <v>8</v>
      </c>
      <c r="B15" s="474">
        <v>3460</v>
      </c>
      <c r="C15" s="474">
        <v>3464</v>
      </c>
      <c r="D15" s="343">
        <f aca="true" t="shared" si="3" ref="D15:D22">C15-B15</f>
        <v>4</v>
      </c>
      <c r="E15" s="344">
        <f t="shared" si="0"/>
        <v>5.956923076923077</v>
      </c>
      <c r="F15" s="344">
        <f t="shared" si="1"/>
        <v>3.923076923076924</v>
      </c>
      <c r="G15" s="345">
        <f t="shared" si="2"/>
        <v>9.88</v>
      </c>
      <c r="H15" s="521">
        <v>8</v>
      </c>
    </row>
    <row r="16" spans="1:8" ht="15">
      <c r="A16" s="521">
        <v>9</v>
      </c>
      <c r="B16" s="474">
        <v>1133</v>
      </c>
      <c r="C16" s="474">
        <v>1139</v>
      </c>
      <c r="D16" s="343">
        <f t="shared" si="3"/>
        <v>6</v>
      </c>
      <c r="E16" s="344">
        <f t="shared" si="0"/>
        <v>8.935384615384617</v>
      </c>
      <c r="F16" s="344">
        <f t="shared" si="1"/>
        <v>3.923076923076924</v>
      </c>
      <c r="G16" s="345">
        <f t="shared" si="2"/>
        <v>12.85846153846154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3.923076923076924</v>
      </c>
      <c r="G17" s="345">
        <f t="shared" si="2"/>
        <v>3.923076923076924</v>
      </c>
      <c r="H17" s="521">
        <v>10</v>
      </c>
    </row>
    <row r="18" spans="1:8" ht="15">
      <c r="A18" s="521">
        <v>11</v>
      </c>
      <c r="B18" s="474">
        <v>1930</v>
      </c>
      <c r="C18" s="474">
        <v>1933</v>
      </c>
      <c r="D18" s="343">
        <f t="shared" si="3"/>
        <v>3</v>
      </c>
      <c r="E18" s="344">
        <f t="shared" si="0"/>
        <v>4.4676923076923085</v>
      </c>
      <c r="F18" s="344">
        <f t="shared" si="1"/>
        <v>3.923076923076924</v>
      </c>
      <c r="G18" s="345">
        <f t="shared" si="2"/>
        <v>8.390769230769232</v>
      </c>
      <c r="H18" s="521">
        <v>11</v>
      </c>
    </row>
    <row r="19" spans="1:8" ht="15">
      <c r="A19" s="521">
        <v>12</v>
      </c>
      <c r="B19" s="474">
        <v>424</v>
      </c>
      <c r="C19" s="474">
        <v>424</v>
      </c>
      <c r="D19" s="343">
        <f t="shared" si="3"/>
        <v>0</v>
      </c>
      <c r="E19" s="344">
        <f t="shared" si="0"/>
        <v>0</v>
      </c>
      <c r="F19" s="344">
        <f t="shared" si="1"/>
        <v>3.923076923076924</v>
      </c>
      <c r="G19" s="345">
        <f t="shared" si="2"/>
        <v>3.923076923076924</v>
      </c>
      <c r="H19" s="521">
        <v>12</v>
      </c>
    </row>
    <row r="20" spans="1:8" ht="15">
      <c r="A20" s="521">
        <v>13</v>
      </c>
      <c r="B20" s="474">
        <v>3500</v>
      </c>
      <c r="C20" s="474">
        <v>3508</v>
      </c>
      <c r="D20" s="343">
        <f t="shared" si="3"/>
        <v>8</v>
      </c>
      <c r="E20" s="344">
        <f t="shared" si="0"/>
        <v>11.913846153846155</v>
      </c>
      <c r="F20" s="344">
        <f t="shared" si="1"/>
        <v>3.923076923076924</v>
      </c>
      <c r="G20" s="345">
        <f t="shared" si="2"/>
        <v>15.836923076923078</v>
      </c>
      <c r="H20" s="521">
        <v>13</v>
      </c>
    </row>
    <row r="21" spans="1:8" ht="15">
      <c r="A21" s="521">
        <v>14</v>
      </c>
      <c r="B21" s="474">
        <v>1248</v>
      </c>
      <c r="C21" s="474">
        <v>1257</v>
      </c>
      <c r="D21" s="343">
        <f t="shared" si="3"/>
        <v>9</v>
      </c>
      <c r="E21" s="344">
        <f t="shared" si="0"/>
        <v>13.403076923076924</v>
      </c>
      <c r="F21" s="344">
        <f t="shared" si="1"/>
        <v>3.923076923076924</v>
      </c>
      <c r="G21" s="345">
        <f t="shared" si="2"/>
        <v>17.326153846153847</v>
      </c>
      <c r="H21" s="521">
        <v>14</v>
      </c>
    </row>
    <row r="22" spans="1:10" ht="15">
      <c r="A22" s="521" t="s">
        <v>16</v>
      </c>
      <c r="B22" s="474">
        <v>1791</v>
      </c>
      <c r="C22" s="474">
        <v>1804</v>
      </c>
      <c r="D22" s="343">
        <f t="shared" si="3"/>
        <v>13</v>
      </c>
      <c r="E22" s="344">
        <f t="shared" si="0"/>
        <v>19.360000000000003</v>
      </c>
      <c r="F22" s="344">
        <f>$F$28/13</f>
        <v>3.923076923076924</v>
      </c>
      <c r="G22" s="345">
        <f t="shared" si="2"/>
        <v>23.283076923076926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J23" s="217"/>
    </row>
    <row r="24" spans="1:10" ht="15">
      <c r="A24" s="104" t="s">
        <v>52</v>
      </c>
      <c r="B24" s="182"/>
      <c r="C24" s="182"/>
      <c r="D24" s="182">
        <f>SUM(D10:D23)</f>
        <v>65</v>
      </c>
      <c r="E24" s="223">
        <f>SUM(E10:E23)</f>
        <v>96.80000000000001</v>
      </c>
      <c r="F24" s="223">
        <f>SUM(F10:F23)</f>
        <v>51.00000000000002</v>
      </c>
      <c r="G24" s="224">
        <f>SUM(G10:G23)</f>
        <v>147.8</v>
      </c>
      <c r="H24" s="104"/>
      <c r="I24" s="217"/>
      <c r="J24" s="512"/>
    </row>
    <row r="25" spans="1:9" ht="15">
      <c r="A25" s="10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476">
        <v>88</v>
      </c>
      <c r="E28" s="252">
        <f>G28-F28</f>
        <v>96.80000000000001</v>
      </c>
      <c r="F28" s="475">
        <f>25.17+1.1+0.01+14.96+9.76</f>
        <v>51.00000000000001</v>
      </c>
      <c r="G28" s="475">
        <v>147.8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386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300" verticalDpi="300" orientation="landscape" paperSize="9" scale="92" r:id="rId1"/>
  <ignoredErrors>
    <ignoredError sqref="F28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I1" sqref="I1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3:9" ht="29.25" thickBot="1" thickTop="1">
      <c r="C1" s="519" t="s">
        <v>71</v>
      </c>
      <c r="I1" s="551" t="s">
        <v>520</v>
      </c>
    </row>
    <row r="2" ht="23.25" thickTop="1">
      <c r="B2" s="520" t="s">
        <v>405</v>
      </c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4.380769230769231</v>
      </c>
      <c r="G10" s="345">
        <f aca="true" t="shared" si="2" ref="G10:G22">SUM(E10:F10)</f>
        <v>4.380769230769231</v>
      </c>
      <c r="H10" s="521">
        <v>3</v>
      </c>
    </row>
    <row r="11" spans="1:8" ht="15">
      <c r="A11" s="521">
        <v>4</v>
      </c>
      <c r="B11" s="474">
        <v>3608</v>
      </c>
      <c r="C11" s="474">
        <v>3626</v>
      </c>
      <c r="D11" s="343">
        <f>C11-B11</f>
        <v>18</v>
      </c>
      <c r="E11" s="344">
        <f t="shared" si="0"/>
        <v>24.151648351648355</v>
      </c>
      <c r="F11" s="344">
        <f t="shared" si="1"/>
        <v>4.380769230769231</v>
      </c>
      <c r="G11" s="345">
        <f t="shared" si="2"/>
        <v>28.532417582417587</v>
      </c>
      <c r="H11" s="521">
        <v>4</v>
      </c>
    </row>
    <row r="12" spans="1:8" ht="15">
      <c r="A12" s="521">
        <v>5</v>
      </c>
      <c r="B12" s="474">
        <v>880</v>
      </c>
      <c r="C12" s="474">
        <v>886</v>
      </c>
      <c r="D12" s="343">
        <f>C12-B12</f>
        <v>6</v>
      </c>
      <c r="E12" s="344">
        <f t="shared" si="0"/>
        <v>8.05054945054945</v>
      </c>
      <c r="F12" s="344">
        <f t="shared" si="1"/>
        <v>4.380769230769231</v>
      </c>
      <c r="G12" s="345">
        <f t="shared" si="2"/>
        <v>12.431318681318682</v>
      </c>
      <c r="H12" s="521">
        <v>5</v>
      </c>
    </row>
    <row r="13" spans="1:8" ht="15">
      <c r="A13" s="521">
        <v>6</v>
      </c>
      <c r="B13" s="474">
        <v>981</v>
      </c>
      <c r="C13" s="474">
        <v>981</v>
      </c>
      <c r="D13" s="343">
        <f>C13-B13</f>
        <v>0</v>
      </c>
      <c r="E13" s="344">
        <f t="shared" si="0"/>
        <v>0</v>
      </c>
      <c r="F13" s="344">
        <f t="shared" si="1"/>
        <v>4.380769230769231</v>
      </c>
      <c r="G13" s="345">
        <f t="shared" si="2"/>
        <v>4.380769230769231</v>
      </c>
      <c r="H13" s="521">
        <v>6</v>
      </c>
    </row>
    <row r="14" spans="1:10" ht="15">
      <c r="A14" s="521">
        <v>7</v>
      </c>
      <c r="B14" s="474">
        <v>1576</v>
      </c>
      <c r="C14" s="474">
        <v>1583</v>
      </c>
      <c r="D14" s="343">
        <f>C14-B14</f>
        <v>7</v>
      </c>
      <c r="E14" s="344">
        <f t="shared" si="0"/>
        <v>9.392307692307693</v>
      </c>
      <c r="F14" s="344">
        <f t="shared" si="1"/>
        <v>4.380769230769231</v>
      </c>
      <c r="G14" s="345">
        <f t="shared" si="2"/>
        <v>13.773076923076925</v>
      </c>
      <c r="H14" s="521">
        <v>7</v>
      </c>
      <c r="J14" s="217"/>
    </row>
    <row r="15" spans="1:8" ht="15">
      <c r="A15" s="521">
        <v>8</v>
      </c>
      <c r="B15" s="474">
        <v>3464</v>
      </c>
      <c r="C15" s="474">
        <v>3471</v>
      </c>
      <c r="D15" s="343">
        <f aca="true" t="shared" si="3" ref="D15:D22">C15-B15</f>
        <v>7</v>
      </c>
      <c r="E15" s="344">
        <f t="shared" si="0"/>
        <v>9.392307692307693</v>
      </c>
      <c r="F15" s="344">
        <f t="shared" si="1"/>
        <v>4.380769230769231</v>
      </c>
      <c r="G15" s="345">
        <f t="shared" si="2"/>
        <v>13.773076923076925</v>
      </c>
      <c r="H15" s="521">
        <v>8</v>
      </c>
    </row>
    <row r="16" spans="1:8" ht="15">
      <c r="A16" s="521">
        <v>9</v>
      </c>
      <c r="B16" s="474">
        <v>1139</v>
      </c>
      <c r="C16" s="474">
        <v>1149</v>
      </c>
      <c r="D16" s="343">
        <f t="shared" si="3"/>
        <v>10</v>
      </c>
      <c r="E16" s="344">
        <f t="shared" si="0"/>
        <v>13.417582417582418</v>
      </c>
      <c r="F16" s="344">
        <f t="shared" si="1"/>
        <v>4.380769230769231</v>
      </c>
      <c r="G16" s="345">
        <f t="shared" si="2"/>
        <v>17.798351648351648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4.380769230769231</v>
      </c>
      <c r="G17" s="345">
        <f t="shared" si="2"/>
        <v>4.380769230769231</v>
      </c>
      <c r="H17" s="521">
        <v>10</v>
      </c>
    </row>
    <row r="18" spans="1:8" ht="15">
      <c r="A18" s="521">
        <v>11</v>
      </c>
      <c r="B18" s="474">
        <v>1933</v>
      </c>
      <c r="C18" s="474">
        <v>1936</v>
      </c>
      <c r="D18" s="343">
        <f t="shared" si="3"/>
        <v>3</v>
      </c>
      <c r="E18" s="344">
        <f t="shared" si="0"/>
        <v>4.025274725274725</v>
      </c>
      <c r="F18" s="344">
        <f t="shared" si="1"/>
        <v>4.380769230769231</v>
      </c>
      <c r="G18" s="345">
        <f t="shared" si="2"/>
        <v>8.406043956043955</v>
      </c>
      <c r="H18" s="521">
        <v>11</v>
      </c>
    </row>
    <row r="19" spans="1:8" ht="15">
      <c r="A19" s="521">
        <v>12</v>
      </c>
      <c r="B19" s="474">
        <v>424</v>
      </c>
      <c r="C19" s="474">
        <v>428</v>
      </c>
      <c r="D19" s="343">
        <f t="shared" si="3"/>
        <v>4</v>
      </c>
      <c r="E19" s="344">
        <f t="shared" si="0"/>
        <v>5.3670329670329675</v>
      </c>
      <c r="F19" s="344">
        <f t="shared" si="1"/>
        <v>4.380769230769231</v>
      </c>
      <c r="G19" s="345">
        <f t="shared" si="2"/>
        <v>9.747802197802198</v>
      </c>
      <c r="H19" s="521">
        <v>12</v>
      </c>
    </row>
    <row r="20" spans="1:8" ht="15">
      <c r="A20" s="521">
        <v>13</v>
      </c>
      <c r="B20" s="474">
        <v>3508</v>
      </c>
      <c r="C20" s="474">
        <v>3517</v>
      </c>
      <c r="D20" s="343">
        <f t="shared" si="3"/>
        <v>9</v>
      </c>
      <c r="E20" s="344">
        <f t="shared" si="0"/>
        <v>12.075824175824177</v>
      </c>
      <c r="F20" s="344">
        <f t="shared" si="1"/>
        <v>4.380769230769231</v>
      </c>
      <c r="G20" s="345">
        <f t="shared" si="2"/>
        <v>16.45659340659341</v>
      </c>
      <c r="H20" s="521">
        <v>13</v>
      </c>
    </row>
    <row r="21" spans="1:8" ht="15">
      <c r="A21" s="521">
        <v>14</v>
      </c>
      <c r="B21" s="474">
        <v>1257</v>
      </c>
      <c r="C21" s="474">
        <v>1271</v>
      </c>
      <c r="D21" s="343">
        <f t="shared" si="3"/>
        <v>14</v>
      </c>
      <c r="E21" s="344">
        <f t="shared" si="0"/>
        <v>18.784615384615385</v>
      </c>
      <c r="F21" s="344">
        <f t="shared" si="1"/>
        <v>4.380769230769231</v>
      </c>
      <c r="G21" s="345">
        <f t="shared" si="2"/>
        <v>23.165384615384617</v>
      </c>
      <c r="H21" s="521">
        <v>14</v>
      </c>
    </row>
    <row r="22" spans="1:10" ht="15">
      <c r="A22" s="521" t="s">
        <v>16</v>
      </c>
      <c r="B22" s="474">
        <v>1804</v>
      </c>
      <c r="C22" s="474">
        <v>1817</v>
      </c>
      <c r="D22" s="343">
        <f t="shared" si="3"/>
        <v>13</v>
      </c>
      <c r="E22" s="344">
        <f t="shared" si="0"/>
        <v>17.442857142857147</v>
      </c>
      <c r="F22" s="344">
        <f>$F$28/13</f>
        <v>4.380769230769231</v>
      </c>
      <c r="G22" s="345">
        <f t="shared" si="2"/>
        <v>21.82362637362638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J23" s="217"/>
    </row>
    <row r="24" spans="1:10" ht="15">
      <c r="A24" s="104" t="s">
        <v>52</v>
      </c>
      <c r="B24" s="182"/>
      <c r="C24" s="182"/>
      <c r="D24" s="182">
        <f>SUM(D10:D23)</f>
        <v>91</v>
      </c>
      <c r="E24" s="223">
        <f>SUM(E10:E23)</f>
        <v>122.10000000000002</v>
      </c>
      <c r="F24" s="223">
        <f>SUM(F10:F23)</f>
        <v>56.95000000000001</v>
      </c>
      <c r="G24" s="224">
        <f>SUM(G10:G23)</f>
        <v>179.05000000000004</v>
      </c>
      <c r="H24" s="104"/>
      <c r="I24" s="217"/>
      <c r="J24" s="512"/>
    </row>
    <row r="25" spans="1:9" ht="15">
      <c r="A25" s="10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476">
        <v>111</v>
      </c>
      <c r="E28" s="252">
        <f>G28-F28</f>
        <v>122.10000000000001</v>
      </c>
      <c r="F28" s="475">
        <f>25.17+1.1+0.03+18.87+11.78</f>
        <v>56.95</v>
      </c>
      <c r="G28" s="475">
        <v>179.05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406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7480314960629921" right="0.7480314960629921" top="0.9448818897637796" bottom="0.9448818897637796" header="0" footer="0"/>
  <pageSetup fitToHeight="1" fitToWidth="1" horizontalDpi="300" verticalDpi="300" orientation="landscape" paperSize="9" scale="92" r:id="rId1"/>
  <ignoredErrors>
    <ignoredError sqref="F28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3"/>
  <sheetViews>
    <sheetView workbookViewId="0" topLeftCell="A1">
      <selection activeCell="I1" sqref="I1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2:9" ht="29.25" thickBot="1" thickTop="1">
      <c r="B1" s="542"/>
      <c r="C1" s="543" t="s">
        <v>71</v>
      </c>
      <c r="I1" s="551" t="s">
        <v>520</v>
      </c>
    </row>
    <row r="2" spans="2:3" ht="23.25" thickTop="1">
      <c r="B2" s="545" t="s">
        <v>460</v>
      </c>
      <c r="C2" s="542"/>
    </row>
    <row r="3" ht="13.5">
      <c r="B3" s="546" t="s">
        <v>463</v>
      </c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6.0076923076923086</v>
      </c>
      <c r="G10" s="345">
        <f aca="true" t="shared" si="2" ref="G10:G22">SUM(E10:F10)</f>
        <v>6.0076923076923086</v>
      </c>
      <c r="H10" s="521">
        <v>3</v>
      </c>
    </row>
    <row r="11" spans="1:8" ht="15">
      <c r="A11" s="521">
        <v>4</v>
      </c>
      <c r="B11" s="474">
        <v>3626</v>
      </c>
      <c r="C11" s="474">
        <v>3656</v>
      </c>
      <c r="D11" s="343">
        <f>C11-B11</f>
        <v>30</v>
      </c>
      <c r="E11" s="344">
        <f t="shared" si="0"/>
        <v>38.13772455089819</v>
      </c>
      <c r="F11" s="344">
        <f t="shared" si="1"/>
        <v>6.0076923076923086</v>
      </c>
      <c r="G11" s="345">
        <f t="shared" si="2"/>
        <v>44.1454168585905</v>
      </c>
      <c r="H11" s="521">
        <v>4</v>
      </c>
    </row>
    <row r="12" spans="1:8" ht="15">
      <c r="A12" s="521">
        <v>5</v>
      </c>
      <c r="B12" s="474">
        <v>886</v>
      </c>
      <c r="C12" s="474">
        <v>896</v>
      </c>
      <c r="D12" s="343">
        <f>C12-B12</f>
        <v>10</v>
      </c>
      <c r="E12" s="344">
        <f t="shared" si="0"/>
        <v>12.712574850299399</v>
      </c>
      <c r="F12" s="344">
        <f t="shared" si="1"/>
        <v>6.0076923076923086</v>
      </c>
      <c r="G12" s="345">
        <f t="shared" si="2"/>
        <v>18.720267157991707</v>
      </c>
      <c r="H12" s="521">
        <v>5</v>
      </c>
    </row>
    <row r="13" spans="1:8" ht="15">
      <c r="A13" s="521">
        <v>6</v>
      </c>
      <c r="B13" s="474">
        <v>981</v>
      </c>
      <c r="C13" s="474">
        <v>981</v>
      </c>
      <c r="D13" s="343">
        <f>C13-B13</f>
        <v>0</v>
      </c>
      <c r="E13" s="344">
        <f t="shared" si="0"/>
        <v>0</v>
      </c>
      <c r="F13" s="344">
        <f t="shared" si="1"/>
        <v>6.0076923076923086</v>
      </c>
      <c r="G13" s="345">
        <f t="shared" si="2"/>
        <v>6.0076923076923086</v>
      </c>
      <c r="H13" s="521">
        <v>6</v>
      </c>
    </row>
    <row r="14" spans="1:10" ht="15">
      <c r="A14" s="521">
        <v>7</v>
      </c>
      <c r="B14" s="474">
        <v>1583</v>
      </c>
      <c r="C14" s="474">
        <v>1601</v>
      </c>
      <c r="D14" s="343">
        <f>C14-B14</f>
        <v>18</v>
      </c>
      <c r="E14" s="344">
        <f t="shared" si="0"/>
        <v>22.882634730538918</v>
      </c>
      <c r="F14" s="344">
        <f t="shared" si="1"/>
        <v>6.0076923076923086</v>
      </c>
      <c r="G14" s="345">
        <f t="shared" si="2"/>
        <v>28.890327038231227</v>
      </c>
      <c r="H14" s="521">
        <v>7</v>
      </c>
      <c r="J14" s="217"/>
    </row>
    <row r="15" spans="1:8" ht="15">
      <c r="A15" s="521">
        <v>8</v>
      </c>
      <c r="B15" s="474">
        <v>3471</v>
      </c>
      <c r="C15" s="474">
        <v>3478</v>
      </c>
      <c r="D15" s="343">
        <f aca="true" t="shared" si="3" ref="D15:D22">C15-B15</f>
        <v>7</v>
      </c>
      <c r="E15" s="344">
        <f t="shared" si="0"/>
        <v>8.898802395209579</v>
      </c>
      <c r="F15" s="344">
        <f t="shared" si="1"/>
        <v>6.0076923076923086</v>
      </c>
      <c r="G15" s="345">
        <f t="shared" si="2"/>
        <v>14.906494702901888</v>
      </c>
      <c r="H15" s="521">
        <v>8</v>
      </c>
    </row>
    <row r="16" spans="1:8" ht="15">
      <c r="A16" s="521">
        <v>9</v>
      </c>
      <c r="B16" s="474">
        <v>1149</v>
      </c>
      <c r="C16" s="474">
        <v>1168</v>
      </c>
      <c r="D16" s="343">
        <f t="shared" si="3"/>
        <v>19</v>
      </c>
      <c r="E16" s="344">
        <f t="shared" si="0"/>
        <v>24.153892215568856</v>
      </c>
      <c r="F16" s="344">
        <f t="shared" si="1"/>
        <v>6.0076923076923086</v>
      </c>
      <c r="G16" s="345">
        <f t="shared" si="2"/>
        <v>30.161584523261165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6.0076923076923086</v>
      </c>
      <c r="G17" s="345">
        <f t="shared" si="2"/>
        <v>6.0076923076923086</v>
      </c>
      <c r="H17" s="521">
        <v>10</v>
      </c>
    </row>
    <row r="18" spans="1:8" ht="15">
      <c r="A18" s="521">
        <v>11</v>
      </c>
      <c r="B18" s="474">
        <v>1936</v>
      </c>
      <c r="C18" s="474">
        <v>1942</v>
      </c>
      <c r="D18" s="343">
        <f t="shared" si="3"/>
        <v>6</v>
      </c>
      <c r="E18" s="344">
        <f t="shared" si="0"/>
        <v>7.627544910179639</v>
      </c>
      <c r="F18" s="344">
        <f t="shared" si="1"/>
        <v>6.0076923076923086</v>
      </c>
      <c r="G18" s="345">
        <f t="shared" si="2"/>
        <v>13.635237217871946</v>
      </c>
      <c r="H18" s="521">
        <v>11</v>
      </c>
    </row>
    <row r="19" spans="1:8" ht="15">
      <c r="A19" s="521">
        <v>12</v>
      </c>
      <c r="B19" s="474">
        <v>428</v>
      </c>
      <c r="C19" s="474">
        <v>441</v>
      </c>
      <c r="D19" s="343">
        <f t="shared" si="3"/>
        <v>13</v>
      </c>
      <c r="E19" s="344">
        <f t="shared" si="0"/>
        <v>16.52634730538922</v>
      </c>
      <c r="F19" s="344">
        <f t="shared" si="1"/>
        <v>6.0076923076923086</v>
      </c>
      <c r="G19" s="345">
        <f t="shared" si="2"/>
        <v>22.53403961308153</v>
      </c>
      <c r="H19" s="521">
        <v>12</v>
      </c>
    </row>
    <row r="20" spans="1:8" ht="15">
      <c r="A20" s="521">
        <v>13</v>
      </c>
      <c r="B20" s="474">
        <v>3517</v>
      </c>
      <c r="C20" s="474">
        <v>3536</v>
      </c>
      <c r="D20" s="343">
        <f t="shared" si="3"/>
        <v>19</v>
      </c>
      <c r="E20" s="344">
        <f t="shared" si="0"/>
        <v>24.153892215568856</v>
      </c>
      <c r="F20" s="344">
        <f t="shared" si="1"/>
        <v>6.0076923076923086</v>
      </c>
      <c r="G20" s="345">
        <f t="shared" si="2"/>
        <v>30.161584523261165</v>
      </c>
      <c r="H20" s="521">
        <v>13</v>
      </c>
    </row>
    <row r="21" spans="1:8" ht="15">
      <c r="A21" s="521">
        <v>14</v>
      </c>
      <c r="B21" s="474">
        <v>1271</v>
      </c>
      <c r="C21" s="474">
        <v>1292</v>
      </c>
      <c r="D21" s="343">
        <f t="shared" si="3"/>
        <v>21</v>
      </c>
      <c r="E21" s="344">
        <f t="shared" si="0"/>
        <v>26.69640718562874</v>
      </c>
      <c r="F21" s="344">
        <f t="shared" si="1"/>
        <v>6.0076923076923086</v>
      </c>
      <c r="G21" s="345">
        <f t="shared" si="2"/>
        <v>32.704099493321046</v>
      </c>
      <c r="H21" s="521">
        <v>14</v>
      </c>
    </row>
    <row r="22" spans="1:10" ht="15">
      <c r="A22" s="521" t="s">
        <v>16</v>
      </c>
      <c r="B22" s="474">
        <v>1817</v>
      </c>
      <c r="C22" s="474">
        <v>1841</v>
      </c>
      <c r="D22" s="343">
        <f t="shared" si="3"/>
        <v>24</v>
      </c>
      <c r="E22" s="344">
        <f t="shared" si="0"/>
        <v>30.510179640718555</v>
      </c>
      <c r="F22" s="344">
        <f>$F$28/13</f>
        <v>6.0076923076923086</v>
      </c>
      <c r="G22" s="345">
        <f t="shared" si="2"/>
        <v>36.517871948410864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J23" s="217"/>
    </row>
    <row r="24" spans="1:10" ht="15">
      <c r="A24" s="104" t="s">
        <v>52</v>
      </c>
      <c r="B24" s="182"/>
      <c r="C24" s="182"/>
      <c r="D24" s="182">
        <f>SUM(D10:D23)</f>
        <v>167</v>
      </c>
      <c r="E24" s="223">
        <f>SUM(E10:E23)</f>
        <v>212.29999999999993</v>
      </c>
      <c r="F24" s="223">
        <f>SUM(F10:F23)</f>
        <v>78.10000000000001</v>
      </c>
      <c r="G24" s="224">
        <f>SUM(G10:G23)</f>
        <v>290.3999999999999</v>
      </c>
      <c r="H24" s="104"/>
      <c r="I24" s="217"/>
      <c r="J24" s="512"/>
    </row>
    <row r="25" spans="1:9" ht="15">
      <c r="A25" s="10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544" t="s">
        <v>461</v>
      </c>
      <c r="E28" s="252">
        <f>G28-F28</f>
        <v>212.29999999999995</v>
      </c>
      <c r="F28" s="475">
        <f>25.17+1.1+0.02+32.81+19</f>
        <v>78.10000000000001</v>
      </c>
      <c r="G28" s="475">
        <v>290.4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462</v>
      </c>
      <c r="B31" s="187"/>
      <c r="C31" s="187"/>
      <c r="D31" s="187"/>
      <c r="E31" s="188"/>
      <c r="F31" s="188"/>
      <c r="G31" s="189"/>
      <c r="H31" s="190"/>
    </row>
    <row r="32" spans="1:8" ht="16.5">
      <c r="A32" s="547" t="s">
        <v>464</v>
      </c>
      <c r="B32" s="187"/>
      <c r="C32" s="187"/>
      <c r="D32" s="187"/>
      <c r="E32" s="188"/>
      <c r="F32" s="188"/>
      <c r="G32" s="189"/>
      <c r="H32" s="190"/>
    </row>
    <row r="33" spans="1:8" ht="16.5">
      <c r="A33" s="190"/>
      <c r="B33" s="187"/>
      <c r="C33" s="187"/>
      <c r="E33" s="188"/>
      <c r="F33" s="188"/>
      <c r="G33" s="189"/>
      <c r="H33" s="190"/>
    </row>
    <row r="34" spans="1:8" ht="16.5">
      <c r="A34" s="190"/>
      <c r="B34" s="187"/>
      <c r="C34" s="187"/>
      <c r="D34" s="191" t="s">
        <v>68</v>
      </c>
      <c r="E34" s="188"/>
      <c r="F34" s="188"/>
      <c r="G34" s="189"/>
      <c r="H34" s="190"/>
    </row>
    <row r="37" ht="12.75">
      <c r="G37" s="320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  <row r="43" ht="12.75">
      <c r="G43" s="324"/>
    </row>
  </sheetData>
  <hyperlinks>
    <hyperlink ref="I1" location="Ekstre!A1" display="EKSTRE'ye DÖN"/>
  </hyperlinks>
  <printOptions horizontalCentered="1" verticalCentered="1"/>
  <pageMargins left="0.3937007874015748" right="0.3937007874015748" top="0.5511811023622047" bottom="0.5511811023622047" header="0" footer="0"/>
  <pageSetup fitToHeight="1" fitToWidth="1" horizontalDpi="300" verticalDpi="300" orientation="landscape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I1" sqref="I1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2:9" ht="29.25" thickBot="1" thickTop="1">
      <c r="B1" s="542"/>
      <c r="C1" s="548" t="s">
        <v>71</v>
      </c>
      <c r="I1" s="551" t="s">
        <v>520</v>
      </c>
    </row>
    <row r="2" spans="2:3" ht="23.25" thickTop="1">
      <c r="B2" s="549" t="s">
        <v>493</v>
      </c>
      <c r="C2" s="542"/>
    </row>
    <row r="3" ht="13.5">
      <c r="B3" s="546"/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6.576923076923077</v>
      </c>
      <c r="G10" s="345">
        <f aca="true" t="shared" si="2" ref="G10:G22">SUM(E10:F10)</f>
        <v>6.576923076923077</v>
      </c>
      <c r="H10" s="521">
        <v>3</v>
      </c>
    </row>
    <row r="11" spans="1:8" ht="15">
      <c r="A11" s="521">
        <v>4</v>
      </c>
      <c r="B11" s="474">
        <v>3656</v>
      </c>
      <c r="C11" s="474">
        <v>3672</v>
      </c>
      <c r="D11" s="343">
        <f>C11-B11</f>
        <v>16</v>
      </c>
      <c r="E11" s="344">
        <f t="shared" si="0"/>
        <v>21.426086956521736</v>
      </c>
      <c r="F11" s="344">
        <f t="shared" si="1"/>
        <v>6.576923076923077</v>
      </c>
      <c r="G11" s="345">
        <f t="shared" si="2"/>
        <v>28.003010033444813</v>
      </c>
      <c r="H11" s="521">
        <v>4</v>
      </c>
    </row>
    <row r="12" spans="1:8" ht="15">
      <c r="A12" s="521">
        <v>5</v>
      </c>
      <c r="B12" s="474">
        <v>896</v>
      </c>
      <c r="C12" s="474">
        <v>901</v>
      </c>
      <c r="D12" s="343">
        <f>C12-B12</f>
        <v>5</v>
      </c>
      <c r="E12" s="344">
        <f t="shared" si="0"/>
        <v>6.695652173913044</v>
      </c>
      <c r="F12" s="344">
        <f t="shared" si="1"/>
        <v>6.576923076923077</v>
      </c>
      <c r="G12" s="345">
        <f t="shared" si="2"/>
        <v>13.27257525083612</v>
      </c>
      <c r="H12" s="521">
        <v>5</v>
      </c>
    </row>
    <row r="13" spans="1:8" ht="15">
      <c r="A13" s="521">
        <v>6</v>
      </c>
      <c r="B13" s="474">
        <v>981</v>
      </c>
      <c r="C13" s="474">
        <v>981</v>
      </c>
      <c r="D13" s="343">
        <f>C13-B13</f>
        <v>0</v>
      </c>
      <c r="E13" s="344">
        <f t="shared" si="0"/>
        <v>0</v>
      </c>
      <c r="F13" s="344">
        <f t="shared" si="1"/>
        <v>6.576923076923077</v>
      </c>
      <c r="G13" s="345">
        <f t="shared" si="2"/>
        <v>6.576923076923077</v>
      </c>
      <c r="H13" s="521">
        <v>6</v>
      </c>
    </row>
    <row r="14" spans="1:10" ht="15">
      <c r="A14" s="521">
        <v>7</v>
      </c>
      <c r="B14" s="474">
        <v>1601</v>
      </c>
      <c r="C14" s="474">
        <v>1610</v>
      </c>
      <c r="D14" s="343">
        <f>C14-B14</f>
        <v>9</v>
      </c>
      <c r="E14" s="344">
        <f t="shared" si="0"/>
        <v>12.052173913043477</v>
      </c>
      <c r="F14" s="344">
        <f t="shared" si="1"/>
        <v>6.576923076923077</v>
      </c>
      <c r="G14" s="345">
        <f t="shared" si="2"/>
        <v>18.629096989966555</v>
      </c>
      <c r="H14" s="521">
        <v>7</v>
      </c>
      <c r="J14" s="217"/>
    </row>
    <row r="15" spans="1:8" ht="15">
      <c r="A15" s="521">
        <v>8</v>
      </c>
      <c r="B15" s="474">
        <v>3478</v>
      </c>
      <c r="C15" s="474">
        <v>3482</v>
      </c>
      <c r="D15" s="343">
        <f aca="true" t="shared" si="3" ref="D15:D22">C15-B15</f>
        <v>4</v>
      </c>
      <c r="E15" s="344">
        <f t="shared" si="0"/>
        <v>5.356521739130434</v>
      </c>
      <c r="F15" s="344">
        <f t="shared" si="1"/>
        <v>6.576923076923077</v>
      </c>
      <c r="G15" s="345">
        <f t="shared" si="2"/>
        <v>11.93344481605351</v>
      </c>
      <c r="H15" s="521">
        <v>8</v>
      </c>
    </row>
    <row r="16" spans="1:8" ht="15">
      <c r="A16" s="521">
        <v>9</v>
      </c>
      <c r="B16" s="474">
        <v>1168</v>
      </c>
      <c r="C16" s="474">
        <v>1178</v>
      </c>
      <c r="D16" s="343">
        <f t="shared" si="3"/>
        <v>10</v>
      </c>
      <c r="E16" s="344">
        <f t="shared" si="0"/>
        <v>13.391304347826088</v>
      </c>
      <c r="F16" s="344">
        <f t="shared" si="1"/>
        <v>6.576923076923077</v>
      </c>
      <c r="G16" s="345">
        <f t="shared" si="2"/>
        <v>19.968227424749166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6.576923076923077</v>
      </c>
      <c r="G17" s="345">
        <f t="shared" si="2"/>
        <v>6.576923076923077</v>
      </c>
      <c r="H17" s="521">
        <v>10</v>
      </c>
    </row>
    <row r="18" spans="1:8" ht="15">
      <c r="A18" s="521">
        <v>11</v>
      </c>
      <c r="B18" s="474">
        <v>1942</v>
      </c>
      <c r="C18" s="474">
        <v>1947</v>
      </c>
      <c r="D18" s="343">
        <f t="shared" si="3"/>
        <v>5</v>
      </c>
      <c r="E18" s="344">
        <f t="shared" si="0"/>
        <v>6.695652173913044</v>
      </c>
      <c r="F18" s="344">
        <f t="shared" si="1"/>
        <v>6.576923076923077</v>
      </c>
      <c r="G18" s="345">
        <f t="shared" si="2"/>
        <v>13.27257525083612</v>
      </c>
      <c r="H18" s="521">
        <v>11</v>
      </c>
    </row>
    <row r="19" spans="1:8" ht="15">
      <c r="A19" s="521">
        <v>12</v>
      </c>
      <c r="B19" s="474">
        <v>441</v>
      </c>
      <c r="C19" s="474">
        <v>448</v>
      </c>
      <c r="D19" s="343">
        <f t="shared" si="3"/>
        <v>7</v>
      </c>
      <c r="E19" s="344">
        <f t="shared" si="0"/>
        <v>9.37391304347826</v>
      </c>
      <c r="F19" s="344">
        <f t="shared" si="1"/>
        <v>6.576923076923077</v>
      </c>
      <c r="G19" s="345">
        <f t="shared" si="2"/>
        <v>15.950836120401336</v>
      </c>
      <c r="H19" s="521">
        <v>12</v>
      </c>
    </row>
    <row r="20" spans="1:8" ht="15">
      <c r="A20" s="521">
        <v>13</v>
      </c>
      <c r="B20" s="474">
        <v>3536</v>
      </c>
      <c r="C20" s="474">
        <v>3547</v>
      </c>
      <c r="D20" s="343">
        <f t="shared" si="3"/>
        <v>11</v>
      </c>
      <c r="E20" s="344">
        <f t="shared" si="0"/>
        <v>14.730434782608693</v>
      </c>
      <c r="F20" s="344">
        <f t="shared" si="1"/>
        <v>6.576923076923077</v>
      </c>
      <c r="G20" s="345">
        <f t="shared" si="2"/>
        <v>21.30735785953177</v>
      </c>
      <c r="H20" s="521">
        <v>13</v>
      </c>
    </row>
    <row r="21" spans="1:8" ht="15">
      <c r="A21" s="521">
        <v>14</v>
      </c>
      <c r="B21" s="474">
        <v>1292</v>
      </c>
      <c r="C21" s="474">
        <v>1304</v>
      </c>
      <c r="D21" s="343">
        <f t="shared" si="3"/>
        <v>12</v>
      </c>
      <c r="E21" s="344">
        <f t="shared" si="0"/>
        <v>16.069565217391304</v>
      </c>
      <c r="F21" s="344">
        <f t="shared" si="1"/>
        <v>6.576923076923077</v>
      </c>
      <c r="G21" s="345">
        <f t="shared" si="2"/>
        <v>22.64648829431438</v>
      </c>
      <c r="H21" s="521">
        <v>14</v>
      </c>
    </row>
    <row r="22" spans="1:10" ht="15">
      <c r="A22" s="521" t="s">
        <v>16</v>
      </c>
      <c r="B22" s="474">
        <v>1841</v>
      </c>
      <c r="C22" s="474">
        <v>1854</v>
      </c>
      <c r="D22" s="343">
        <f t="shared" si="3"/>
        <v>13</v>
      </c>
      <c r="E22" s="344">
        <f t="shared" si="0"/>
        <v>17.40869565217391</v>
      </c>
      <c r="F22" s="344">
        <f>$F$28/13</f>
        <v>6.576923076923077</v>
      </c>
      <c r="G22" s="345">
        <f t="shared" si="2"/>
        <v>23.985618729096988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J23" s="217"/>
    </row>
    <row r="24" spans="1:10" ht="15">
      <c r="A24" s="104" t="s">
        <v>52</v>
      </c>
      <c r="B24" s="182"/>
      <c r="C24" s="182"/>
      <c r="D24" s="182">
        <f>SUM(D10:D23)</f>
        <v>92</v>
      </c>
      <c r="E24" s="223">
        <f>SUM(E10:E23)</f>
        <v>123.19999999999999</v>
      </c>
      <c r="F24" s="223">
        <f>SUM(F10:F23)</f>
        <v>85.50000000000003</v>
      </c>
      <c r="G24" s="224">
        <f>SUM(G10:G23)</f>
        <v>208.7</v>
      </c>
      <c r="H24" s="104"/>
      <c r="I24" s="217"/>
      <c r="J24" s="512"/>
    </row>
    <row r="25" spans="1:9" ht="15">
      <c r="A25" s="10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544">
        <v>112</v>
      </c>
      <c r="E28" s="252">
        <f>G28-F28</f>
        <v>123.19999999999999</v>
      </c>
      <c r="F28" s="475">
        <f>25.17+1.1+0.04+19.04+11.87+4.31+23.97</f>
        <v>85.5</v>
      </c>
      <c r="G28" s="475">
        <v>208.7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494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1" r:id="rId1"/>
  <ignoredErrors>
    <ignoredError sqref="F28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G28" sqref="G28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2:9" ht="29.25" thickBot="1" thickTop="1">
      <c r="B1" s="542"/>
      <c r="C1" s="548" t="s">
        <v>71</v>
      </c>
      <c r="I1" s="551" t="s">
        <v>520</v>
      </c>
    </row>
    <row r="2" spans="2:3" ht="23.25" thickTop="1">
      <c r="B2" s="549" t="s">
        <v>513</v>
      </c>
      <c r="C2" s="542"/>
    </row>
    <row r="3" ht="13.5">
      <c r="B3" s="546"/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4.180769230769231</v>
      </c>
      <c r="G10" s="345">
        <f aca="true" t="shared" si="2" ref="G10:G22">SUM(E10:F10)</f>
        <v>4.180769230769231</v>
      </c>
      <c r="H10" s="521">
        <v>3</v>
      </c>
    </row>
    <row r="11" spans="1:8" ht="15">
      <c r="A11" s="521">
        <v>4</v>
      </c>
      <c r="B11" s="474">
        <v>3672</v>
      </c>
      <c r="C11" s="474">
        <v>3685</v>
      </c>
      <c r="D11" s="343">
        <f>C11-B11</f>
        <v>13</v>
      </c>
      <c r="E11" s="344">
        <f t="shared" si="0"/>
        <v>22.244444444444444</v>
      </c>
      <c r="F11" s="344">
        <f t="shared" si="1"/>
        <v>4.180769230769231</v>
      </c>
      <c r="G11" s="345">
        <f t="shared" si="2"/>
        <v>26.425213675213676</v>
      </c>
      <c r="H11" s="521">
        <v>4</v>
      </c>
    </row>
    <row r="12" spans="1:8" ht="15">
      <c r="A12" s="521">
        <v>5</v>
      </c>
      <c r="B12" s="474">
        <v>901</v>
      </c>
      <c r="C12" s="474">
        <v>906</v>
      </c>
      <c r="D12" s="343">
        <f>C12-B12</f>
        <v>5</v>
      </c>
      <c r="E12" s="344">
        <f t="shared" si="0"/>
        <v>8.555555555555555</v>
      </c>
      <c r="F12" s="344">
        <f t="shared" si="1"/>
        <v>4.180769230769231</v>
      </c>
      <c r="G12" s="345">
        <f t="shared" si="2"/>
        <v>12.736324786324786</v>
      </c>
      <c r="H12" s="521">
        <v>5</v>
      </c>
    </row>
    <row r="13" spans="1:8" ht="15">
      <c r="A13" s="521">
        <v>6</v>
      </c>
      <c r="B13" s="474">
        <v>981</v>
      </c>
      <c r="C13" s="474">
        <v>981</v>
      </c>
      <c r="D13" s="343">
        <f>C13-B13</f>
        <v>0</v>
      </c>
      <c r="E13" s="344">
        <f t="shared" si="0"/>
        <v>0</v>
      </c>
      <c r="F13" s="344">
        <f t="shared" si="1"/>
        <v>4.180769230769231</v>
      </c>
      <c r="G13" s="345">
        <f t="shared" si="2"/>
        <v>4.180769230769231</v>
      </c>
      <c r="H13" s="521">
        <v>6</v>
      </c>
    </row>
    <row r="14" spans="1:10" ht="15">
      <c r="A14" s="521">
        <v>7</v>
      </c>
      <c r="B14" s="474">
        <v>1610</v>
      </c>
      <c r="C14" s="474">
        <v>1618</v>
      </c>
      <c r="D14" s="343">
        <f>C14-B14</f>
        <v>8</v>
      </c>
      <c r="E14" s="344">
        <f t="shared" si="0"/>
        <v>13.688888888888888</v>
      </c>
      <c r="F14" s="344">
        <f t="shared" si="1"/>
        <v>4.180769230769231</v>
      </c>
      <c r="G14" s="345">
        <f t="shared" si="2"/>
        <v>17.86965811965812</v>
      </c>
      <c r="H14" s="521">
        <v>7</v>
      </c>
      <c r="J14" s="217"/>
    </row>
    <row r="15" spans="1:8" ht="15">
      <c r="A15" s="521">
        <v>8</v>
      </c>
      <c r="B15" s="474">
        <v>3482</v>
      </c>
      <c r="C15" s="474">
        <v>3484</v>
      </c>
      <c r="D15" s="343">
        <f aca="true" t="shared" si="3" ref="D15:D22">C15-B15</f>
        <v>2</v>
      </c>
      <c r="E15" s="344">
        <f t="shared" si="0"/>
        <v>3.422222222222222</v>
      </c>
      <c r="F15" s="344">
        <f t="shared" si="1"/>
        <v>4.180769230769231</v>
      </c>
      <c r="G15" s="345">
        <f t="shared" si="2"/>
        <v>7.6029914529914535</v>
      </c>
      <c r="H15" s="521">
        <v>8</v>
      </c>
    </row>
    <row r="16" spans="1:8" ht="15">
      <c r="A16" s="521">
        <v>9</v>
      </c>
      <c r="B16" s="474">
        <v>1178</v>
      </c>
      <c r="C16" s="474">
        <v>1183</v>
      </c>
      <c r="D16" s="343">
        <f t="shared" si="3"/>
        <v>5</v>
      </c>
      <c r="E16" s="344">
        <f t="shared" si="0"/>
        <v>8.555555555555555</v>
      </c>
      <c r="F16" s="344">
        <f t="shared" si="1"/>
        <v>4.180769230769231</v>
      </c>
      <c r="G16" s="345">
        <f t="shared" si="2"/>
        <v>12.736324786324786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4.180769230769231</v>
      </c>
      <c r="G17" s="345">
        <f t="shared" si="2"/>
        <v>4.180769230769231</v>
      </c>
      <c r="H17" s="521">
        <v>10</v>
      </c>
    </row>
    <row r="18" spans="1:8" ht="15">
      <c r="A18" s="521">
        <v>11</v>
      </c>
      <c r="B18" s="474">
        <v>1947</v>
      </c>
      <c r="C18" s="474">
        <v>1950</v>
      </c>
      <c r="D18" s="343">
        <f t="shared" si="3"/>
        <v>3</v>
      </c>
      <c r="E18" s="344">
        <f t="shared" si="0"/>
        <v>5.133333333333333</v>
      </c>
      <c r="F18" s="344">
        <f t="shared" si="1"/>
        <v>4.180769230769231</v>
      </c>
      <c r="G18" s="345">
        <f t="shared" si="2"/>
        <v>9.314102564102564</v>
      </c>
      <c r="H18" s="521">
        <v>11</v>
      </c>
    </row>
    <row r="19" spans="1:8" ht="15">
      <c r="A19" s="521">
        <v>12</v>
      </c>
      <c r="B19" s="474">
        <v>448</v>
      </c>
      <c r="C19" s="474">
        <v>454</v>
      </c>
      <c r="D19" s="343">
        <f t="shared" si="3"/>
        <v>6</v>
      </c>
      <c r="E19" s="344">
        <f t="shared" si="0"/>
        <v>10.266666666666666</v>
      </c>
      <c r="F19" s="344">
        <f t="shared" si="1"/>
        <v>4.180769230769231</v>
      </c>
      <c r="G19" s="345">
        <f t="shared" si="2"/>
        <v>14.447435897435897</v>
      </c>
      <c r="H19" s="521">
        <v>12</v>
      </c>
    </row>
    <row r="20" spans="1:8" ht="15">
      <c r="A20" s="521">
        <v>13</v>
      </c>
      <c r="B20" s="474">
        <v>3547</v>
      </c>
      <c r="C20" s="474">
        <v>3557</v>
      </c>
      <c r="D20" s="343">
        <f t="shared" si="3"/>
        <v>10</v>
      </c>
      <c r="E20" s="344">
        <f t="shared" si="0"/>
        <v>17.11111111111111</v>
      </c>
      <c r="F20" s="344">
        <f t="shared" si="1"/>
        <v>4.180769230769231</v>
      </c>
      <c r="G20" s="345">
        <f t="shared" si="2"/>
        <v>21.291880341880344</v>
      </c>
      <c r="H20" s="521">
        <v>13</v>
      </c>
    </row>
    <row r="21" spans="1:8" ht="15">
      <c r="A21" s="521">
        <v>14</v>
      </c>
      <c r="B21" s="474">
        <v>1304</v>
      </c>
      <c r="C21" s="474">
        <v>1315</v>
      </c>
      <c r="D21" s="343">
        <f t="shared" si="3"/>
        <v>11</v>
      </c>
      <c r="E21" s="344">
        <f t="shared" si="0"/>
        <v>18.822222222222223</v>
      </c>
      <c r="F21" s="344">
        <f t="shared" si="1"/>
        <v>4.180769230769231</v>
      </c>
      <c r="G21" s="345">
        <f t="shared" si="2"/>
        <v>23.002991452991452</v>
      </c>
      <c r="H21" s="521">
        <v>14</v>
      </c>
    </row>
    <row r="22" spans="1:10" ht="15">
      <c r="A22" s="521" t="s">
        <v>16</v>
      </c>
      <c r="B22" s="474">
        <v>1854</v>
      </c>
      <c r="C22" s="474">
        <v>1854</v>
      </c>
      <c r="D22" s="343">
        <f t="shared" si="3"/>
        <v>0</v>
      </c>
      <c r="E22" s="344">
        <f t="shared" si="0"/>
        <v>0</v>
      </c>
      <c r="F22" s="344">
        <f>$F$28/13</f>
        <v>4.180769230769231</v>
      </c>
      <c r="G22" s="345">
        <f t="shared" si="2"/>
        <v>4.180769230769231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J23" s="217"/>
    </row>
    <row r="24" spans="1:10" ht="15">
      <c r="A24" s="104" t="s">
        <v>52</v>
      </c>
      <c r="B24" s="182"/>
      <c r="C24" s="182"/>
      <c r="D24" s="182">
        <f>SUM(D10:D23)</f>
        <v>63</v>
      </c>
      <c r="E24" s="223">
        <f>SUM(E10:E23)</f>
        <v>107.80000000000001</v>
      </c>
      <c r="F24" s="223">
        <f>SUM(F10:F23)</f>
        <v>54.34999999999999</v>
      </c>
      <c r="G24" s="224">
        <f>SUM(G10:G23)</f>
        <v>162.15</v>
      </c>
      <c r="H24" s="104"/>
      <c r="I24" s="217"/>
      <c r="J24" s="512"/>
    </row>
    <row r="25" spans="1:9" ht="15">
      <c r="A25" s="10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544">
        <v>98</v>
      </c>
      <c r="E28" s="252">
        <f>G28-F28</f>
        <v>107.8</v>
      </c>
      <c r="F28" s="475">
        <f>25.17+1.1+0.02+17.42+10.64</f>
        <v>54.35000000000001</v>
      </c>
      <c r="G28" s="475">
        <v>162.15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511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I1" sqref="I1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2:9" ht="29.25" thickBot="1" thickTop="1">
      <c r="B1" s="542"/>
      <c r="C1" s="548" t="s">
        <v>71</v>
      </c>
      <c r="I1" s="551" t="s">
        <v>520</v>
      </c>
    </row>
    <row r="2" spans="2:3" ht="23.25" thickTop="1">
      <c r="B2" s="549" t="s">
        <v>534</v>
      </c>
      <c r="C2" s="542"/>
    </row>
    <row r="3" ht="13.5">
      <c r="B3" s="546"/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4.865384615384616</v>
      </c>
      <c r="G10" s="345">
        <f aca="true" t="shared" si="2" ref="G10:G22">SUM(E10:F10)</f>
        <v>4.865384615384616</v>
      </c>
      <c r="H10" s="521">
        <v>3</v>
      </c>
    </row>
    <row r="11" spans="1:8" ht="15">
      <c r="A11" s="521">
        <v>4</v>
      </c>
      <c r="B11" s="474">
        <v>3685</v>
      </c>
      <c r="C11" s="474">
        <v>3705</v>
      </c>
      <c r="D11" s="343">
        <f>C11-B11</f>
        <v>20</v>
      </c>
      <c r="E11" s="344">
        <f t="shared" si="0"/>
        <v>29.252747252747252</v>
      </c>
      <c r="F11" s="344">
        <f t="shared" si="1"/>
        <v>4.865384615384616</v>
      </c>
      <c r="G11" s="345">
        <f t="shared" si="2"/>
        <v>34.11813186813187</v>
      </c>
      <c r="H11" s="521">
        <v>4</v>
      </c>
    </row>
    <row r="12" spans="1:8" ht="15">
      <c r="A12" s="521">
        <v>5</v>
      </c>
      <c r="B12" s="474">
        <v>906</v>
      </c>
      <c r="C12" s="474">
        <v>910</v>
      </c>
      <c r="D12" s="343">
        <f>C12-B12</f>
        <v>4</v>
      </c>
      <c r="E12" s="344">
        <f t="shared" si="0"/>
        <v>5.85054945054945</v>
      </c>
      <c r="F12" s="344">
        <f t="shared" si="1"/>
        <v>4.865384615384616</v>
      </c>
      <c r="G12" s="345">
        <f t="shared" si="2"/>
        <v>10.715934065934066</v>
      </c>
      <c r="H12" s="521">
        <v>5</v>
      </c>
    </row>
    <row r="13" spans="1:8" ht="15">
      <c r="A13" s="521">
        <v>6</v>
      </c>
      <c r="B13" s="474">
        <v>981</v>
      </c>
      <c r="C13" s="474">
        <v>985</v>
      </c>
      <c r="D13" s="343">
        <f>C13-B13</f>
        <v>4</v>
      </c>
      <c r="E13" s="344">
        <f t="shared" si="0"/>
        <v>5.85054945054945</v>
      </c>
      <c r="F13" s="344">
        <f t="shared" si="1"/>
        <v>4.865384615384616</v>
      </c>
      <c r="G13" s="345">
        <f t="shared" si="2"/>
        <v>10.715934065934066</v>
      </c>
      <c r="H13" s="521">
        <v>6</v>
      </c>
    </row>
    <row r="14" spans="1:10" ht="15">
      <c r="A14" s="521">
        <v>7</v>
      </c>
      <c r="B14" s="474">
        <v>1618</v>
      </c>
      <c r="C14" s="474">
        <v>1625</v>
      </c>
      <c r="D14" s="343">
        <f>C14-B14</f>
        <v>7</v>
      </c>
      <c r="E14" s="344">
        <f t="shared" si="0"/>
        <v>10.238461538461538</v>
      </c>
      <c r="F14" s="344">
        <f t="shared" si="1"/>
        <v>4.865384615384616</v>
      </c>
      <c r="G14" s="345">
        <f t="shared" si="2"/>
        <v>15.103846153846153</v>
      </c>
      <c r="H14" s="521">
        <v>7</v>
      </c>
      <c r="J14" s="217"/>
    </row>
    <row r="15" spans="1:8" ht="15">
      <c r="A15" s="521">
        <v>8</v>
      </c>
      <c r="B15" s="474">
        <v>3484</v>
      </c>
      <c r="C15" s="474">
        <v>3487</v>
      </c>
      <c r="D15" s="343">
        <f aca="true" t="shared" si="3" ref="D15:D22">C15-B15</f>
        <v>3</v>
      </c>
      <c r="E15" s="344">
        <f t="shared" si="0"/>
        <v>4.387912087912087</v>
      </c>
      <c r="F15" s="344">
        <f t="shared" si="1"/>
        <v>4.865384615384616</v>
      </c>
      <c r="G15" s="345">
        <f t="shared" si="2"/>
        <v>9.253296703296703</v>
      </c>
      <c r="H15" s="521">
        <v>8</v>
      </c>
    </row>
    <row r="16" spans="1:8" ht="15">
      <c r="A16" s="521">
        <v>9</v>
      </c>
      <c r="B16" s="474">
        <v>1183</v>
      </c>
      <c r="C16" s="474">
        <v>1193</v>
      </c>
      <c r="D16" s="343">
        <f t="shared" si="3"/>
        <v>10</v>
      </c>
      <c r="E16" s="344">
        <f t="shared" si="0"/>
        <v>14.626373626373626</v>
      </c>
      <c r="F16" s="344">
        <f t="shared" si="1"/>
        <v>4.865384615384616</v>
      </c>
      <c r="G16" s="345">
        <f t="shared" si="2"/>
        <v>19.49175824175824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4.865384615384616</v>
      </c>
      <c r="G17" s="345">
        <f t="shared" si="2"/>
        <v>4.865384615384616</v>
      </c>
      <c r="H17" s="521">
        <v>10</v>
      </c>
    </row>
    <row r="18" spans="1:8" ht="15">
      <c r="A18" s="521">
        <v>11</v>
      </c>
      <c r="B18" s="474">
        <v>1950</v>
      </c>
      <c r="C18" s="474">
        <v>1957</v>
      </c>
      <c r="D18" s="343">
        <f t="shared" si="3"/>
        <v>7</v>
      </c>
      <c r="E18" s="344">
        <f t="shared" si="0"/>
        <v>10.238461538461538</v>
      </c>
      <c r="F18" s="344">
        <f t="shared" si="1"/>
        <v>4.865384615384616</v>
      </c>
      <c r="G18" s="345">
        <f t="shared" si="2"/>
        <v>15.103846153846153</v>
      </c>
      <c r="H18" s="521">
        <v>11</v>
      </c>
    </row>
    <row r="19" spans="1:8" ht="15">
      <c r="A19" s="521">
        <v>12</v>
      </c>
      <c r="B19" s="474">
        <v>454</v>
      </c>
      <c r="C19" s="474">
        <v>462</v>
      </c>
      <c r="D19" s="343">
        <f t="shared" si="3"/>
        <v>8</v>
      </c>
      <c r="E19" s="344">
        <f t="shared" si="0"/>
        <v>11.7010989010989</v>
      </c>
      <c r="F19" s="344">
        <f t="shared" si="1"/>
        <v>4.865384615384616</v>
      </c>
      <c r="G19" s="345">
        <f t="shared" si="2"/>
        <v>16.566483516483515</v>
      </c>
      <c r="H19" s="521">
        <v>12</v>
      </c>
    </row>
    <row r="20" spans="1:8" ht="15">
      <c r="A20" s="521">
        <v>13</v>
      </c>
      <c r="B20" s="474">
        <v>3557</v>
      </c>
      <c r="C20" s="474">
        <v>3571</v>
      </c>
      <c r="D20" s="343">
        <f t="shared" si="3"/>
        <v>14</v>
      </c>
      <c r="E20" s="344">
        <f t="shared" si="0"/>
        <v>20.476923076923075</v>
      </c>
      <c r="F20" s="344">
        <f t="shared" si="1"/>
        <v>4.865384615384616</v>
      </c>
      <c r="G20" s="345">
        <f t="shared" si="2"/>
        <v>25.342307692307692</v>
      </c>
      <c r="H20" s="521">
        <v>13</v>
      </c>
    </row>
    <row r="21" spans="1:8" ht="15">
      <c r="A21" s="521">
        <v>14</v>
      </c>
      <c r="B21" s="474">
        <v>1315</v>
      </c>
      <c r="C21" s="474">
        <v>1329</v>
      </c>
      <c r="D21" s="343">
        <f t="shared" si="3"/>
        <v>14</v>
      </c>
      <c r="E21" s="344">
        <f t="shared" si="0"/>
        <v>20.476923076923075</v>
      </c>
      <c r="F21" s="344">
        <f t="shared" si="1"/>
        <v>4.865384615384616</v>
      </c>
      <c r="G21" s="345">
        <f t="shared" si="2"/>
        <v>25.342307692307692</v>
      </c>
      <c r="H21" s="521">
        <v>14</v>
      </c>
    </row>
    <row r="22" spans="1:10" ht="15">
      <c r="A22" s="521" t="s">
        <v>16</v>
      </c>
      <c r="B22" s="474">
        <v>1854</v>
      </c>
      <c r="C22" s="474">
        <v>1854</v>
      </c>
      <c r="D22" s="343">
        <f t="shared" si="3"/>
        <v>0</v>
      </c>
      <c r="E22" s="344">
        <f t="shared" si="0"/>
        <v>0</v>
      </c>
      <c r="F22" s="344">
        <f>$F$28/13</f>
        <v>4.865384615384616</v>
      </c>
      <c r="G22" s="345">
        <f t="shared" si="2"/>
        <v>4.865384615384616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I23" s="217"/>
      <c r="J23" s="217"/>
    </row>
    <row r="24" spans="1:10" ht="15">
      <c r="A24" s="104" t="s">
        <v>52</v>
      </c>
      <c r="B24" s="182"/>
      <c r="C24" s="182"/>
      <c r="D24" s="182">
        <f>SUM(D10:D23)</f>
        <v>91</v>
      </c>
      <c r="E24" s="223">
        <f>SUM(E10:E23)</f>
        <v>133.1</v>
      </c>
      <c r="F24" s="223">
        <f>SUM(F10:F23)</f>
        <v>63.24999999999999</v>
      </c>
      <c r="G24" s="224">
        <f>SUM(G10:G23)</f>
        <v>196.34999999999997</v>
      </c>
      <c r="H24" s="104"/>
      <c r="I24" s="217"/>
      <c r="J24" s="512"/>
    </row>
    <row r="25" spans="1:9" ht="15">
      <c r="A25" s="10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544">
        <v>121</v>
      </c>
      <c r="E28" s="252">
        <f>G28-F28</f>
        <v>133.1</v>
      </c>
      <c r="F28" s="475">
        <f>25.17+1.1+0.02+21.78+10.65+4.53</f>
        <v>63.25000000000001</v>
      </c>
      <c r="G28" s="475">
        <v>196.35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533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300" verticalDpi="300" orientation="landscape" paperSize="9" r:id="rId1"/>
  <ignoredErrors>
    <ignoredError sqref="F28" unlocked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I1" sqref="I1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2:9" ht="29.25" thickBot="1" thickTop="1">
      <c r="B1" s="542"/>
      <c r="C1" s="555" t="s">
        <v>71</v>
      </c>
      <c r="I1" s="551" t="s">
        <v>520</v>
      </c>
    </row>
    <row r="2" spans="2:3" ht="23.25" thickTop="1">
      <c r="B2" s="556" t="s">
        <v>567</v>
      </c>
      <c r="C2" s="542"/>
    </row>
    <row r="3" ht="13.5">
      <c r="B3" s="546"/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4.01923076923077</v>
      </c>
      <c r="G10" s="345">
        <f aca="true" t="shared" si="2" ref="G10:G22">SUM(E10:F10)</f>
        <v>4.01923076923077</v>
      </c>
      <c r="H10" s="521">
        <v>3</v>
      </c>
    </row>
    <row r="11" spans="1:8" ht="15">
      <c r="A11" s="521">
        <v>4</v>
      </c>
      <c r="B11" s="474">
        <v>3705</v>
      </c>
      <c r="C11" s="474">
        <v>3717</v>
      </c>
      <c r="D11" s="343">
        <f>C11-B11</f>
        <v>12</v>
      </c>
      <c r="E11" s="344">
        <f t="shared" si="0"/>
        <v>16</v>
      </c>
      <c r="F11" s="344">
        <f t="shared" si="1"/>
        <v>4.01923076923077</v>
      </c>
      <c r="G11" s="345">
        <f t="shared" si="2"/>
        <v>20.01923076923077</v>
      </c>
      <c r="H11" s="521">
        <v>4</v>
      </c>
    </row>
    <row r="12" spans="1:8" ht="15">
      <c r="A12" s="521">
        <v>5</v>
      </c>
      <c r="B12" s="474">
        <v>910</v>
      </c>
      <c r="C12" s="474">
        <v>912</v>
      </c>
      <c r="D12" s="343">
        <f>C12-B12</f>
        <v>2</v>
      </c>
      <c r="E12" s="344">
        <f t="shared" si="0"/>
        <v>2.6666666666666665</v>
      </c>
      <c r="F12" s="344">
        <f t="shared" si="1"/>
        <v>4.01923076923077</v>
      </c>
      <c r="G12" s="345">
        <f t="shared" si="2"/>
        <v>6.685897435897436</v>
      </c>
      <c r="H12" s="521">
        <v>5</v>
      </c>
    </row>
    <row r="13" spans="1:8" ht="15">
      <c r="A13" s="521">
        <v>6</v>
      </c>
      <c r="B13" s="474">
        <v>985</v>
      </c>
      <c r="C13" s="474">
        <v>985</v>
      </c>
      <c r="D13" s="343">
        <f>C13-B13</f>
        <v>0</v>
      </c>
      <c r="E13" s="344">
        <f t="shared" si="0"/>
        <v>0</v>
      </c>
      <c r="F13" s="344">
        <f t="shared" si="1"/>
        <v>4.01923076923077</v>
      </c>
      <c r="G13" s="345">
        <f t="shared" si="2"/>
        <v>4.01923076923077</v>
      </c>
      <c r="H13" s="521">
        <v>6</v>
      </c>
    </row>
    <row r="14" spans="1:10" ht="15">
      <c r="A14" s="521">
        <v>7</v>
      </c>
      <c r="B14" s="474">
        <v>1625</v>
      </c>
      <c r="C14" s="474">
        <v>1633</v>
      </c>
      <c r="D14" s="343">
        <f>C14-B14</f>
        <v>8</v>
      </c>
      <c r="E14" s="344">
        <f t="shared" si="0"/>
        <v>10.666666666666666</v>
      </c>
      <c r="F14" s="344">
        <f t="shared" si="1"/>
        <v>4.01923076923077</v>
      </c>
      <c r="G14" s="345">
        <f t="shared" si="2"/>
        <v>14.685897435897436</v>
      </c>
      <c r="H14" s="521">
        <v>7</v>
      </c>
      <c r="J14" s="217"/>
    </row>
    <row r="15" spans="1:8" ht="15">
      <c r="A15" s="521">
        <v>8</v>
      </c>
      <c r="B15" s="474">
        <v>3487</v>
      </c>
      <c r="C15" s="474">
        <v>3492</v>
      </c>
      <c r="D15" s="343">
        <f aca="true" t="shared" si="3" ref="D15:D22">C15-B15</f>
        <v>5</v>
      </c>
      <c r="E15" s="344">
        <f t="shared" si="0"/>
        <v>6.666666666666667</v>
      </c>
      <c r="F15" s="344">
        <f t="shared" si="1"/>
        <v>4.01923076923077</v>
      </c>
      <c r="G15" s="345">
        <f t="shared" si="2"/>
        <v>10.685897435897438</v>
      </c>
      <c r="H15" s="521">
        <v>8</v>
      </c>
    </row>
    <row r="16" spans="1:8" ht="15">
      <c r="A16" s="521">
        <v>9</v>
      </c>
      <c r="B16" s="474">
        <v>1193</v>
      </c>
      <c r="C16" s="474">
        <v>1199</v>
      </c>
      <c r="D16" s="343">
        <f t="shared" si="3"/>
        <v>6</v>
      </c>
      <c r="E16" s="344">
        <f t="shared" si="0"/>
        <v>8</v>
      </c>
      <c r="F16" s="344">
        <f t="shared" si="1"/>
        <v>4.01923076923077</v>
      </c>
      <c r="G16" s="345">
        <f t="shared" si="2"/>
        <v>12.01923076923077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4.01923076923077</v>
      </c>
      <c r="G17" s="345">
        <f t="shared" si="2"/>
        <v>4.01923076923077</v>
      </c>
      <c r="H17" s="521">
        <v>10</v>
      </c>
    </row>
    <row r="18" spans="1:8" ht="15">
      <c r="A18" s="521">
        <v>11</v>
      </c>
      <c r="B18" s="474">
        <v>1957</v>
      </c>
      <c r="C18" s="474">
        <v>1959</v>
      </c>
      <c r="D18" s="343">
        <f t="shared" si="3"/>
        <v>2</v>
      </c>
      <c r="E18" s="344">
        <f t="shared" si="0"/>
        <v>2.6666666666666665</v>
      </c>
      <c r="F18" s="344">
        <f t="shared" si="1"/>
        <v>4.01923076923077</v>
      </c>
      <c r="G18" s="345">
        <f t="shared" si="2"/>
        <v>6.685897435897436</v>
      </c>
      <c r="H18" s="521">
        <v>11</v>
      </c>
    </row>
    <row r="19" spans="1:8" ht="15">
      <c r="A19" s="521">
        <v>12</v>
      </c>
      <c r="B19" s="474">
        <v>462</v>
      </c>
      <c r="C19" s="474">
        <v>467</v>
      </c>
      <c r="D19" s="343">
        <f t="shared" si="3"/>
        <v>5</v>
      </c>
      <c r="E19" s="344">
        <f t="shared" si="0"/>
        <v>6.666666666666667</v>
      </c>
      <c r="F19" s="344">
        <f t="shared" si="1"/>
        <v>4.01923076923077</v>
      </c>
      <c r="G19" s="345">
        <f t="shared" si="2"/>
        <v>10.685897435897438</v>
      </c>
      <c r="H19" s="521">
        <v>12</v>
      </c>
    </row>
    <row r="20" spans="1:8" ht="15">
      <c r="A20" s="521">
        <v>13</v>
      </c>
      <c r="B20" s="474">
        <v>3571</v>
      </c>
      <c r="C20" s="474">
        <v>3580</v>
      </c>
      <c r="D20" s="343">
        <f t="shared" si="3"/>
        <v>9</v>
      </c>
      <c r="E20" s="344">
        <f t="shared" si="0"/>
        <v>12</v>
      </c>
      <c r="F20" s="344">
        <f t="shared" si="1"/>
        <v>4.01923076923077</v>
      </c>
      <c r="G20" s="345">
        <f t="shared" si="2"/>
        <v>16.01923076923077</v>
      </c>
      <c r="H20" s="521">
        <v>13</v>
      </c>
    </row>
    <row r="21" spans="1:8" ht="15">
      <c r="A21" s="521">
        <v>14</v>
      </c>
      <c r="B21" s="474">
        <v>1329</v>
      </c>
      <c r="C21" s="474">
        <v>1338</v>
      </c>
      <c r="D21" s="343">
        <f t="shared" si="3"/>
        <v>9</v>
      </c>
      <c r="E21" s="344">
        <f t="shared" si="0"/>
        <v>12</v>
      </c>
      <c r="F21" s="344">
        <f t="shared" si="1"/>
        <v>4.01923076923077</v>
      </c>
      <c r="G21" s="345">
        <f t="shared" si="2"/>
        <v>16.01923076923077</v>
      </c>
      <c r="H21" s="521">
        <v>14</v>
      </c>
    </row>
    <row r="22" spans="1:10" ht="15">
      <c r="A22" s="521" t="s">
        <v>569</v>
      </c>
      <c r="B22" s="474">
        <v>0</v>
      </c>
      <c r="C22" s="474">
        <v>8</v>
      </c>
      <c r="D22" s="343">
        <f t="shared" si="3"/>
        <v>8</v>
      </c>
      <c r="E22" s="344">
        <f t="shared" si="0"/>
        <v>10.666666666666666</v>
      </c>
      <c r="F22" s="344">
        <f>$F$28/13</f>
        <v>4.01923076923077</v>
      </c>
      <c r="G22" s="345">
        <f t="shared" si="2"/>
        <v>14.685897435897436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I23" s="217"/>
      <c r="J23" s="217"/>
    </row>
    <row r="24" spans="1:10" ht="15">
      <c r="A24" s="104" t="s">
        <v>52</v>
      </c>
      <c r="B24" s="182"/>
      <c r="C24" s="182"/>
      <c r="D24" s="182">
        <f>SUM(D10:D23)</f>
        <v>66</v>
      </c>
      <c r="E24" s="223">
        <f>SUM(E10:E23)</f>
        <v>88</v>
      </c>
      <c r="F24" s="223">
        <f>SUM(F10:F23)</f>
        <v>52.25000000000003</v>
      </c>
      <c r="G24" s="224">
        <f>SUM(G10:G23)</f>
        <v>140.25000000000003</v>
      </c>
      <c r="H24" s="104"/>
      <c r="I24" s="217"/>
      <c r="J24" s="512"/>
    </row>
    <row r="25" spans="1:9" ht="15">
      <c r="A25" s="554" t="s">
        <v>570</v>
      </c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544">
        <v>80</v>
      </c>
      <c r="E28" s="252">
        <f>G28-F28</f>
        <v>88</v>
      </c>
      <c r="F28" s="475">
        <f>25.17+1.1+0.01+14.4+7.04+4.53</f>
        <v>52.25000000000001</v>
      </c>
      <c r="G28" s="475">
        <v>140.25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568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5511811023622047" right="0.5511811023622047" top="0.5905511811023623" bottom="0.5905511811023623" header="0" footer="0"/>
  <pageSetup fitToHeight="1" fitToWidth="1" horizontalDpi="600" verticalDpi="600" orientation="landscape" paperSize="9" r:id="rId1"/>
  <ignoredErrors>
    <ignoredError sqref="F28" unlocked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G28" sqref="G28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2:9" ht="29.25" thickBot="1" thickTop="1">
      <c r="B1" s="542"/>
      <c r="C1" s="548" t="s">
        <v>71</v>
      </c>
      <c r="I1" s="551" t="s">
        <v>520</v>
      </c>
    </row>
    <row r="2" spans="2:3" ht="23.25" thickTop="1">
      <c r="B2" s="549" t="s">
        <v>588</v>
      </c>
      <c r="C2" s="542"/>
    </row>
    <row r="3" ht="13.5">
      <c r="B3" s="546"/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4.203846153846154</v>
      </c>
      <c r="G10" s="345">
        <f aca="true" t="shared" si="2" ref="G10:G22">SUM(E10:F10)</f>
        <v>4.203846153846154</v>
      </c>
      <c r="H10" s="521">
        <v>3</v>
      </c>
    </row>
    <row r="11" spans="1:8" ht="15">
      <c r="A11" s="521">
        <v>4</v>
      </c>
      <c r="B11" s="474">
        <v>3717</v>
      </c>
      <c r="C11" s="474">
        <v>3732</v>
      </c>
      <c r="D11" s="343">
        <f>C11-B11</f>
        <v>15</v>
      </c>
      <c r="E11" s="344">
        <f t="shared" si="0"/>
        <v>18.35625</v>
      </c>
      <c r="F11" s="344">
        <f t="shared" si="1"/>
        <v>4.203846153846154</v>
      </c>
      <c r="G11" s="345">
        <f t="shared" si="2"/>
        <v>22.560096153846153</v>
      </c>
      <c r="H11" s="521">
        <v>4</v>
      </c>
    </row>
    <row r="12" spans="1:8" ht="15">
      <c r="A12" s="521">
        <v>5</v>
      </c>
      <c r="B12" s="474">
        <v>912</v>
      </c>
      <c r="C12" s="474">
        <v>914</v>
      </c>
      <c r="D12" s="343">
        <f>C12-B12</f>
        <v>2</v>
      </c>
      <c r="E12" s="344">
        <f t="shared" si="0"/>
        <v>2.4475000000000002</v>
      </c>
      <c r="F12" s="344">
        <f t="shared" si="1"/>
        <v>4.203846153846154</v>
      </c>
      <c r="G12" s="345">
        <f t="shared" si="2"/>
        <v>6.651346153846154</v>
      </c>
      <c r="H12" s="521">
        <v>5</v>
      </c>
    </row>
    <row r="13" spans="1:8" ht="15">
      <c r="A13" s="521">
        <v>6</v>
      </c>
      <c r="B13" s="474">
        <v>985</v>
      </c>
      <c r="C13" s="474">
        <v>985</v>
      </c>
      <c r="D13" s="343">
        <f>C13-B13</f>
        <v>0</v>
      </c>
      <c r="E13" s="344">
        <f t="shared" si="0"/>
        <v>0</v>
      </c>
      <c r="F13" s="344">
        <f t="shared" si="1"/>
        <v>4.203846153846154</v>
      </c>
      <c r="G13" s="345">
        <f t="shared" si="2"/>
        <v>4.203846153846154</v>
      </c>
      <c r="H13" s="521">
        <v>6</v>
      </c>
    </row>
    <row r="14" spans="1:10" ht="15">
      <c r="A14" s="521">
        <v>7</v>
      </c>
      <c r="B14" s="474">
        <v>1633</v>
      </c>
      <c r="C14" s="474">
        <v>1634</v>
      </c>
      <c r="D14" s="343">
        <f>C14-B14</f>
        <v>1</v>
      </c>
      <c r="E14" s="344">
        <f t="shared" si="0"/>
        <v>1.2237500000000001</v>
      </c>
      <c r="F14" s="344">
        <f t="shared" si="1"/>
        <v>4.203846153846154</v>
      </c>
      <c r="G14" s="345">
        <f t="shared" si="2"/>
        <v>5.427596153846154</v>
      </c>
      <c r="H14" s="521">
        <v>7</v>
      </c>
      <c r="J14" s="217"/>
    </row>
    <row r="15" spans="1:8" ht="15">
      <c r="A15" s="521">
        <v>8</v>
      </c>
      <c r="B15" s="474">
        <v>3492</v>
      </c>
      <c r="C15" s="474">
        <v>3495</v>
      </c>
      <c r="D15" s="343">
        <f aca="true" t="shared" si="3" ref="D15:D22">C15-B15</f>
        <v>3</v>
      </c>
      <c r="E15" s="344">
        <f t="shared" si="0"/>
        <v>3.6712500000000006</v>
      </c>
      <c r="F15" s="344">
        <f t="shared" si="1"/>
        <v>4.203846153846154</v>
      </c>
      <c r="G15" s="345">
        <f t="shared" si="2"/>
        <v>7.875096153846155</v>
      </c>
      <c r="H15" s="521">
        <v>8</v>
      </c>
    </row>
    <row r="16" spans="1:8" ht="15">
      <c r="A16" s="521">
        <v>9</v>
      </c>
      <c r="B16" s="474">
        <v>1199</v>
      </c>
      <c r="C16" s="474">
        <v>1209</v>
      </c>
      <c r="D16" s="343">
        <f t="shared" si="3"/>
        <v>10</v>
      </c>
      <c r="E16" s="344">
        <f t="shared" si="0"/>
        <v>12.2375</v>
      </c>
      <c r="F16" s="344">
        <f t="shared" si="1"/>
        <v>4.203846153846154</v>
      </c>
      <c r="G16" s="345">
        <f t="shared" si="2"/>
        <v>16.441346153846155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4.203846153846154</v>
      </c>
      <c r="G17" s="345">
        <f t="shared" si="2"/>
        <v>4.203846153846154</v>
      </c>
      <c r="H17" s="521">
        <v>10</v>
      </c>
    </row>
    <row r="18" spans="1:8" ht="15">
      <c r="A18" s="521">
        <v>11</v>
      </c>
      <c r="B18" s="474">
        <v>1959</v>
      </c>
      <c r="C18" s="474">
        <v>1963</v>
      </c>
      <c r="D18" s="343">
        <f t="shared" si="3"/>
        <v>4</v>
      </c>
      <c r="E18" s="344">
        <f t="shared" si="0"/>
        <v>4.8950000000000005</v>
      </c>
      <c r="F18" s="344">
        <f t="shared" si="1"/>
        <v>4.203846153846154</v>
      </c>
      <c r="G18" s="345">
        <f t="shared" si="2"/>
        <v>9.098846153846154</v>
      </c>
      <c r="H18" s="521">
        <v>11</v>
      </c>
    </row>
    <row r="19" spans="1:8" ht="15">
      <c r="A19" s="521">
        <v>12</v>
      </c>
      <c r="B19" s="474">
        <v>467</v>
      </c>
      <c r="C19" s="474">
        <v>474</v>
      </c>
      <c r="D19" s="343">
        <f t="shared" si="3"/>
        <v>7</v>
      </c>
      <c r="E19" s="344">
        <f t="shared" si="0"/>
        <v>8.56625</v>
      </c>
      <c r="F19" s="344">
        <f t="shared" si="1"/>
        <v>4.203846153846154</v>
      </c>
      <c r="G19" s="345">
        <f t="shared" si="2"/>
        <v>12.770096153846154</v>
      </c>
      <c r="H19" s="521">
        <v>12</v>
      </c>
    </row>
    <row r="20" spans="1:8" ht="15">
      <c r="A20" s="521">
        <v>13</v>
      </c>
      <c r="B20" s="474">
        <v>3580</v>
      </c>
      <c r="C20" s="474">
        <v>3591</v>
      </c>
      <c r="D20" s="343">
        <f t="shared" si="3"/>
        <v>11</v>
      </c>
      <c r="E20" s="344">
        <f t="shared" si="0"/>
        <v>13.461250000000001</v>
      </c>
      <c r="F20" s="344">
        <f t="shared" si="1"/>
        <v>4.203846153846154</v>
      </c>
      <c r="G20" s="345">
        <f t="shared" si="2"/>
        <v>17.665096153846157</v>
      </c>
      <c r="H20" s="521">
        <v>13</v>
      </c>
    </row>
    <row r="21" spans="1:8" ht="15">
      <c r="A21" s="521">
        <v>14</v>
      </c>
      <c r="B21" s="474">
        <v>1338</v>
      </c>
      <c r="C21" s="474">
        <v>1350</v>
      </c>
      <c r="D21" s="343">
        <f t="shared" si="3"/>
        <v>12</v>
      </c>
      <c r="E21" s="344">
        <f t="shared" si="0"/>
        <v>14.685000000000002</v>
      </c>
      <c r="F21" s="344">
        <f t="shared" si="1"/>
        <v>4.203846153846154</v>
      </c>
      <c r="G21" s="345">
        <f t="shared" si="2"/>
        <v>18.888846153846156</v>
      </c>
      <c r="H21" s="521">
        <v>14</v>
      </c>
    </row>
    <row r="22" spans="1:10" ht="15">
      <c r="A22" s="521" t="s">
        <v>569</v>
      </c>
      <c r="B22" s="474">
        <v>8</v>
      </c>
      <c r="C22" s="474">
        <v>23</v>
      </c>
      <c r="D22" s="343">
        <f t="shared" si="3"/>
        <v>15</v>
      </c>
      <c r="E22" s="344">
        <f t="shared" si="0"/>
        <v>18.35625</v>
      </c>
      <c r="F22" s="344">
        <f>$F$28/13</f>
        <v>4.203846153846154</v>
      </c>
      <c r="G22" s="345">
        <f t="shared" si="2"/>
        <v>22.560096153846153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I23" s="217"/>
      <c r="J23" s="217"/>
    </row>
    <row r="24" spans="1:10" ht="15">
      <c r="A24" s="104" t="s">
        <v>52</v>
      </c>
      <c r="B24" s="182"/>
      <c r="C24" s="182"/>
      <c r="D24" s="182">
        <f>SUM(D10:D23)</f>
        <v>80</v>
      </c>
      <c r="E24" s="223">
        <f>SUM(E10:E23)</f>
        <v>97.90000000000002</v>
      </c>
      <c r="F24" s="223">
        <f>SUM(F10:F23)</f>
        <v>54.65000000000002</v>
      </c>
      <c r="G24" s="224">
        <f>SUM(G10:G23)</f>
        <v>152.55</v>
      </c>
      <c r="H24" s="104"/>
      <c r="I24" s="217"/>
      <c r="J24" s="512"/>
    </row>
    <row r="25" spans="1:9" ht="15">
      <c r="A25" s="55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544">
        <v>89</v>
      </c>
      <c r="E28" s="252">
        <f>G28-F28</f>
        <v>97.9</v>
      </c>
      <c r="F28" s="475">
        <f>25.17+1.1+16.02+7.83+4.53</f>
        <v>54.650000000000006</v>
      </c>
      <c r="G28" s="475">
        <v>152.55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589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5511811023622047" right="0.5511811023622047" top="0.5905511811023623" bottom="0.5905511811023623" header="0" footer="0"/>
  <pageSetup fitToHeight="1" fitToWidth="1" horizontalDpi="600" verticalDpi="600" orientation="landscape" paperSize="9" r:id="rId1"/>
  <ignoredErrors>
    <ignoredError sqref="F28" unlocked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2"/>
  <sheetViews>
    <sheetView workbookViewId="0" topLeftCell="A1">
      <selection activeCell="G28" sqref="G28"/>
    </sheetView>
  </sheetViews>
  <sheetFormatPr defaultColWidth="9.140625" defaultRowHeight="12.75"/>
  <cols>
    <col min="1" max="1" width="14.140625" style="0" customWidth="1"/>
    <col min="2" max="2" width="13.140625" style="62" customWidth="1"/>
    <col min="3" max="3" width="14.140625" style="62" customWidth="1"/>
    <col min="4" max="4" width="11.421875" style="62" customWidth="1"/>
    <col min="5" max="5" width="13.140625" style="4" bestFit="1" customWidth="1"/>
    <col min="6" max="6" width="13.7109375" style="4" bestFit="1" customWidth="1"/>
    <col min="7" max="7" width="18.28125" style="9" bestFit="1" customWidth="1"/>
    <col min="8" max="8" width="10.140625" style="0" bestFit="1" customWidth="1"/>
    <col min="9" max="9" width="11.8515625" style="0" customWidth="1"/>
    <col min="10" max="10" width="12.57421875" style="0" customWidth="1"/>
  </cols>
  <sheetData>
    <row r="1" spans="2:9" ht="29.25" thickBot="1" thickTop="1">
      <c r="B1" s="542"/>
      <c r="C1" s="548" t="s">
        <v>71</v>
      </c>
      <c r="I1" s="551" t="s">
        <v>520</v>
      </c>
    </row>
    <row r="2" spans="2:3" ht="23.25" thickTop="1">
      <c r="B2" s="549" t="s">
        <v>618</v>
      </c>
      <c r="C2" s="542"/>
    </row>
    <row r="3" ht="13.5">
      <c r="B3" s="546"/>
    </row>
    <row r="4" ht="12.75">
      <c r="C4"/>
    </row>
    <row r="5" spans="2:8" ht="12.75">
      <c r="B5" s="326" t="s">
        <v>250</v>
      </c>
      <c r="C5" s="326" t="s">
        <v>251</v>
      </c>
      <c r="D5" s="326" t="s">
        <v>254</v>
      </c>
      <c r="E5" s="327" t="s">
        <v>254</v>
      </c>
      <c r="F5" s="327" t="s">
        <v>255</v>
      </c>
      <c r="G5" s="329" t="s">
        <v>257</v>
      </c>
      <c r="H5" s="330" t="s">
        <v>258</v>
      </c>
    </row>
    <row r="6" spans="2:8" ht="12.75">
      <c r="B6" s="326" t="s">
        <v>252</v>
      </c>
      <c r="C6" s="326" t="s">
        <v>253</v>
      </c>
      <c r="D6" s="326" t="s">
        <v>50</v>
      </c>
      <c r="E6" s="327" t="s">
        <v>184</v>
      </c>
      <c r="F6" s="327" t="s">
        <v>256</v>
      </c>
      <c r="G6" s="327" t="s">
        <v>184</v>
      </c>
      <c r="H6" s="328"/>
    </row>
    <row r="7" spans="1:8" s="2" customFormat="1" ht="15">
      <c r="A7" s="522" t="s">
        <v>0</v>
      </c>
      <c r="B7" s="178" t="s">
        <v>46</v>
      </c>
      <c r="C7" s="178" t="s">
        <v>48</v>
      </c>
      <c r="D7" s="494" t="s">
        <v>49</v>
      </c>
      <c r="E7" s="179" t="s">
        <v>49</v>
      </c>
      <c r="F7" s="179" t="s">
        <v>51</v>
      </c>
      <c r="G7" s="179" t="s">
        <v>53</v>
      </c>
      <c r="H7" s="522" t="s">
        <v>0</v>
      </c>
    </row>
    <row r="8" spans="1:8" s="2" customFormat="1" ht="15">
      <c r="A8" s="102"/>
      <c r="B8" s="178" t="s">
        <v>47</v>
      </c>
      <c r="C8" s="178" t="s">
        <v>47</v>
      </c>
      <c r="D8" s="178"/>
      <c r="F8" s="179" t="s">
        <v>185</v>
      </c>
      <c r="G8" s="179" t="s">
        <v>184</v>
      </c>
      <c r="H8" s="102"/>
    </row>
    <row r="9" spans="1:8" s="2" customFormat="1" ht="15">
      <c r="A9" s="102"/>
      <c r="B9" s="178" t="s">
        <v>50</v>
      </c>
      <c r="C9" s="178" t="s">
        <v>50</v>
      </c>
      <c r="D9" s="178" t="s">
        <v>50</v>
      </c>
      <c r="E9" s="179" t="s">
        <v>184</v>
      </c>
      <c r="F9" s="179" t="s">
        <v>169</v>
      </c>
      <c r="G9" s="179"/>
      <c r="H9" s="102"/>
    </row>
    <row r="10" spans="1:8" ht="15">
      <c r="A10" s="521">
        <v>3</v>
      </c>
      <c r="B10" s="474">
        <v>590</v>
      </c>
      <c r="C10" s="474">
        <v>590</v>
      </c>
      <c r="D10" s="343">
        <f>C10-B10</f>
        <v>0</v>
      </c>
      <c r="E10" s="344">
        <f aca="true" t="shared" si="0" ref="E10:E22">$E$28*D10/$D$24</f>
        <v>0</v>
      </c>
      <c r="F10" s="344">
        <f aca="true" t="shared" si="1" ref="F10:F21">$F$28/13</f>
        <v>4.596153846153847</v>
      </c>
      <c r="G10" s="345">
        <f aca="true" t="shared" si="2" ref="G10:G22">SUM(E10:F10)</f>
        <v>4.596153846153847</v>
      </c>
      <c r="H10" s="521">
        <v>3</v>
      </c>
    </row>
    <row r="11" spans="1:8" ht="15">
      <c r="A11" s="521">
        <v>4</v>
      </c>
      <c r="B11" s="474">
        <v>3732</v>
      </c>
      <c r="C11" s="474">
        <v>3749</v>
      </c>
      <c r="D11" s="343">
        <f>C11-B11</f>
        <v>17</v>
      </c>
      <c r="E11" s="344">
        <f t="shared" si="0"/>
        <v>23.48372093023256</v>
      </c>
      <c r="F11" s="344">
        <f t="shared" si="1"/>
        <v>4.596153846153847</v>
      </c>
      <c r="G11" s="345">
        <f t="shared" si="2"/>
        <v>28.079874776386408</v>
      </c>
      <c r="H11" s="521">
        <v>4</v>
      </c>
    </row>
    <row r="12" spans="1:8" ht="15">
      <c r="A12" s="521">
        <v>5</v>
      </c>
      <c r="B12" s="474">
        <v>914</v>
      </c>
      <c r="C12" s="474">
        <v>917</v>
      </c>
      <c r="D12" s="343">
        <f>C12-B12</f>
        <v>3</v>
      </c>
      <c r="E12" s="344">
        <f t="shared" si="0"/>
        <v>4.144186046511629</v>
      </c>
      <c r="F12" s="344">
        <f t="shared" si="1"/>
        <v>4.596153846153847</v>
      </c>
      <c r="G12" s="345">
        <f t="shared" si="2"/>
        <v>8.740339892665475</v>
      </c>
      <c r="H12" s="521">
        <v>5</v>
      </c>
    </row>
    <row r="13" spans="1:8" ht="15">
      <c r="A13" s="521">
        <v>6</v>
      </c>
      <c r="B13" s="474">
        <v>985</v>
      </c>
      <c r="C13" s="474">
        <v>985</v>
      </c>
      <c r="D13" s="343">
        <f>C13-B13</f>
        <v>0</v>
      </c>
      <c r="E13" s="344">
        <f t="shared" si="0"/>
        <v>0</v>
      </c>
      <c r="F13" s="344">
        <f t="shared" si="1"/>
        <v>4.596153846153847</v>
      </c>
      <c r="G13" s="345">
        <f t="shared" si="2"/>
        <v>4.596153846153847</v>
      </c>
      <c r="H13" s="521">
        <v>6</v>
      </c>
    </row>
    <row r="14" spans="1:10" ht="15">
      <c r="A14" s="521">
        <v>7</v>
      </c>
      <c r="B14" s="474">
        <v>1634</v>
      </c>
      <c r="C14" s="474">
        <v>1639</v>
      </c>
      <c r="D14" s="343">
        <f>C14-B14</f>
        <v>5</v>
      </c>
      <c r="E14" s="344">
        <f t="shared" si="0"/>
        <v>6.906976744186046</v>
      </c>
      <c r="F14" s="344">
        <f t="shared" si="1"/>
        <v>4.596153846153847</v>
      </c>
      <c r="G14" s="345">
        <f t="shared" si="2"/>
        <v>11.503130590339893</v>
      </c>
      <c r="H14" s="521">
        <v>7</v>
      </c>
      <c r="J14" s="217"/>
    </row>
    <row r="15" spans="1:8" ht="15">
      <c r="A15" s="521">
        <v>8</v>
      </c>
      <c r="B15" s="474">
        <v>3495</v>
      </c>
      <c r="C15" s="474">
        <v>3500</v>
      </c>
      <c r="D15" s="343">
        <f aca="true" t="shared" si="3" ref="D15:D22">C15-B15</f>
        <v>5</v>
      </c>
      <c r="E15" s="344">
        <f t="shared" si="0"/>
        <v>6.906976744186046</v>
      </c>
      <c r="F15" s="344">
        <f t="shared" si="1"/>
        <v>4.596153846153847</v>
      </c>
      <c r="G15" s="345">
        <f t="shared" si="2"/>
        <v>11.503130590339893</v>
      </c>
      <c r="H15" s="521">
        <v>8</v>
      </c>
    </row>
    <row r="16" spans="1:8" ht="15">
      <c r="A16" s="521">
        <v>9</v>
      </c>
      <c r="B16" s="474">
        <v>1209</v>
      </c>
      <c r="C16" s="474">
        <v>1218</v>
      </c>
      <c r="D16" s="343">
        <f t="shared" si="3"/>
        <v>9</v>
      </c>
      <c r="E16" s="344">
        <f t="shared" si="0"/>
        <v>12.432558139534883</v>
      </c>
      <c r="F16" s="344">
        <f t="shared" si="1"/>
        <v>4.596153846153847</v>
      </c>
      <c r="G16" s="345">
        <f t="shared" si="2"/>
        <v>17.02871198568873</v>
      </c>
      <c r="H16" s="521">
        <v>9</v>
      </c>
    </row>
    <row r="17" spans="1:8" ht="15">
      <c r="A17" s="521">
        <v>10</v>
      </c>
      <c r="B17" s="474">
        <v>91</v>
      </c>
      <c r="C17" s="474">
        <v>91</v>
      </c>
      <c r="D17" s="343">
        <f t="shared" si="3"/>
        <v>0</v>
      </c>
      <c r="E17" s="344">
        <f t="shared" si="0"/>
        <v>0</v>
      </c>
      <c r="F17" s="344">
        <f t="shared" si="1"/>
        <v>4.596153846153847</v>
      </c>
      <c r="G17" s="345">
        <f t="shared" si="2"/>
        <v>4.596153846153847</v>
      </c>
      <c r="H17" s="521">
        <v>10</v>
      </c>
    </row>
    <row r="18" spans="1:8" ht="15">
      <c r="A18" s="521">
        <v>11</v>
      </c>
      <c r="B18" s="474">
        <v>1963</v>
      </c>
      <c r="C18" s="474">
        <v>1965</v>
      </c>
      <c r="D18" s="343">
        <f t="shared" si="3"/>
        <v>2</v>
      </c>
      <c r="E18" s="344">
        <f t="shared" si="0"/>
        <v>2.762790697674419</v>
      </c>
      <c r="F18" s="344">
        <f t="shared" si="1"/>
        <v>4.596153846153847</v>
      </c>
      <c r="G18" s="345">
        <f t="shared" si="2"/>
        <v>7.358944543828265</v>
      </c>
      <c r="H18" s="521">
        <v>11</v>
      </c>
    </row>
    <row r="19" spans="1:8" ht="15">
      <c r="A19" s="521">
        <v>12</v>
      </c>
      <c r="B19" s="474">
        <v>474</v>
      </c>
      <c r="C19" s="474">
        <v>481</v>
      </c>
      <c r="D19" s="343">
        <f t="shared" si="3"/>
        <v>7</v>
      </c>
      <c r="E19" s="344">
        <f t="shared" si="0"/>
        <v>9.669767441860467</v>
      </c>
      <c r="F19" s="344">
        <f t="shared" si="1"/>
        <v>4.596153846153847</v>
      </c>
      <c r="G19" s="345">
        <f t="shared" si="2"/>
        <v>14.265921288014313</v>
      </c>
      <c r="H19" s="521">
        <v>12</v>
      </c>
    </row>
    <row r="20" spans="1:8" ht="15">
      <c r="A20" s="521">
        <v>13</v>
      </c>
      <c r="B20" s="474">
        <v>3591</v>
      </c>
      <c r="C20" s="474">
        <v>3602</v>
      </c>
      <c r="D20" s="343">
        <f t="shared" si="3"/>
        <v>11</v>
      </c>
      <c r="E20" s="344">
        <f t="shared" si="0"/>
        <v>15.195348837209304</v>
      </c>
      <c r="F20" s="344">
        <f t="shared" si="1"/>
        <v>4.596153846153847</v>
      </c>
      <c r="G20" s="345">
        <f t="shared" si="2"/>
        <v>19.79150268336315</v>
      </c>
      <c r="H20" s="521">
        <v>13</v>
      </c>
    </row>
    <row r="21" spans="1:8" ht="15">
      <c r="A21" s="521">
        <v>14</v>
      </c>
      <c r="B21" s="474">
        <v>1350</v>
      </c>
      <c r="C21" s="474">
        <v>1362</v>
      </c>
      <c r="D21" s="343">
        <f t="shared" si="3"/>
        <v>12</v>
      </c>
      <c r="E21" s="344">
        <f t="shared" si="0"/>
        <v>16.576744186046515</v>
      </c>
      <c r="F21" s="344">
        <f t="shared" si="1"/>
        <v>4.596153846153847</v>
      </c>
      <c r="G21" s="345">
        <f t="shared" si="2"/>
        <v>21.17289803220036</v>
      </c>
      <c r="H21" s="521">
        <v>14</v>
      </c>
    </row>
    <row r="22" spans="1:10" ht="15">
      <c r="A22" s="521" t="s">
        <v>569</v>
      </c>
      <c r="B22" s="474">
        <v>23</v>
      </c>
      <c r="C22" s="474">
        <v>38</v>
      </c>
      <c r="D22" s="343">
        <f t="shared" si="3"/>
        <v>15</v>
      </c>
      <c r="E22" s="344">
        <f t="shared" si="0"/>
        <v>20.720930232558143</v>
      </c>
      <c r="F22" s="344">
        <f>$F$28/13</f>
        <v>4.596153846153847</v>
      </c>
      <c r="G22" s="345">
        <f t="shared" si="2"/>
        <v>25.31708407871199</v>
      </c>
      <c r="H22" s="521" t="s">
        <v>16</v>
      </c>
      <c r="J22" s="217"/>
    </row>
    <row r="23" spans="1:10" ht="15">
      <c r="A23" s="180"/>
      <c r="B23" s="181"/>
      <c r="C23" s="181"/>
      <c r="D23" s="181"/>
      <c r="E23" s="250"/>
      <c r="F23" s="250"/>
      <c r="G23" s="251"/>
      <c r="H23" s="180"/>
      <c r="I23" s="217"/>
      <c r="J23" s="217"/>
    </row>
    <row r="24" spans="1:10" ht="15">
      <c r="A24" s="104" t="s">
        <v>52</v>
      </c>
      <c r="B24" s="182"/>
      <c r="C24" s="182"/>
      <c r="D24" s="182">
        <f>SUM(D10:D23)</f>
        <v>86</v>
      </c>
      <c r="E24" s="223">
        <f>SUM(E10:E23)</f>
        <v>118.80000000000003</v>
      </c>
      <c r="F24" s="223">
        <f>SUM(F10:F23)</f>
        <v>59.75000000000001</v>
      </c>
      <c r="G24" s="224">
        <f>SUM(G10:G23)</f>
        <v>178.55</v>
      </c>
      <c r="H24" s="104"/>
      <c r="I24" s="217"/>
      <c r="J24" s="512"/>
    </row>
    <row r="25" spans="1:9" ht="15">
      <c r="A25" s="554"/>
      <c r="B25" s="182"/>
      <c r="C25" s="182"/>
      <c r="D25" s="182"/>
      <c r="E25" s="183"/>
      <c r="F25" s="183"/>
      <c r="G25" s="183"/>
      <c r="H25" s="104"/>
      <c r="I25" s="217"/>
    </row>
    <row r="26" spans="1:8" ht="15">
      <c r="A26" s="104"/>
      <c r="B26" s="182"/>
      <c r="C26" s="182"/>
      <c r="D26" s="182"/>
      <c r="E26" s="183"/>
      <c r="F26" s="183"/>
      <c r="G26" s="108"/>
      <c r="H26" s="104"/>
    </row>
    <row r="27" spans="1:9" ht="15">
      <c r="A27" s="104"/>
      <c r="B27" s="182"/>
      <c r="C27" s="182"/>
      <c r="D27" s="184" t="s">
        <v>66</v>
      </c>
      <c r="E27" s="185" t="s">
        <v>67</v>
      </c>
      <c r="F27" s="186" t="s">
        <v>69</v>
      </c>
      <c r="G27" s="186" t="s">
        <v>36</v>
      </c>
      <c r="H27" s="104"/>
      <c r="I27" s="217"/>
    </row>
    <row r="28" spans="1:10" ht="15">
      <c r="A28" s="104"/>
      <c r="B28" s="182" t="s">
        <v>70</v>
      </c>
      <c r="C28" s="182"/>
      <c r="D28" s="544">
        <v>108</v>
      </c>
      <c r="E28" s="252">
        <f>G28-F28</f>
        <v>118.80000000000001</v>
      </c>
      <c r="F28" s="475">
        <f>25.17+1.1+0.01+19.44+9.5+4.53</f>
        <v>59.75000000000001</v>
      </c>
      <c r="G28" s="475">
        <v>178.55</v>
      </c>
      <c r="H28" s="104"/>
      <c r="I28" s="253"/>
      <c r="J28" s="253"/>
    </row>
    <row r="29" ht="12.75">
      <c r="I29" s="325"/>
    </row>
    <row r="30" spans="4:10" ht="15">
      <c r="D30" s="497"/>
      <c r="J30" s="475"/>
    </row>
    <row r="31" spans="1:8" ht="17.25">
      <c r="A31" s="477" t="s">
        <v>617</v>
      </c>
      <c r="B31" s="187"/>
      <c r="C31" s="187"/>
      <c r="D31" s="187"/>
      <c r="E31" s="188"/>
      <c r="F31" s="188"/>
      <c r="G31" s="189"/>
      <c r="H31" s="190"/>
    </row>
    <row r="32" spans="1:8" ht="16.5">
      <c r="A32" s="190"/>
      <c r="B32" s="187"/>
      <c r="C32" s="187"/>
      <c r="E32" s="188"/>
      <c r="F32" s="188"/>
      <c r="G32" s="189"/>
      <c r="H32" s="190"/>
    </row>
    <row r="33" spans="1:8" ht="16.5">
      <c r="A33" s="190"/>
      <c r="B33" s="187"/>
      <c r="C33" s="187"/>
      <c r="D33" s="191" t="s">
        <v>68</v>
      </c>
      <c r="E33" s="188"/>
      <c r="F33" s="188"/>
      <c r="G33" s="189"/>
      <c r="H33" s="190"/>
    </row>
    <row r="36" ht="12.75">
      <c r="G36" s="320"/>
    </row>
    <row r="37" ht="12.75">
      <c r="G37" s="324"/>
    </row>
    <row r="38" ht="12.75">
      <c r="G38" s="324"/>
    </row>
    <row r="39" ht="12.75">
      <c r="G39" s="324"/>
    </row>
    <row r="40" ht="12.75">
      <c r="G40" s="324"/>
    </row>
    <row r="41" ht="12.75">
      <c r="G41" s="324"/>
    </row>
    <row r="42" ht="12.75">
      <c r="G42" s="324"/>
    </row>
  </sheetData>
  <hyperlinks>
    <hyperlink ref="I1" location="Ekstre!A1" display="EKSTRE'ye DÖN"/>
  </hyperlinks>
  <printOptions horizontalCentered="1" verticalCentered="1"/>
  <pageMargins left="0.5511811023622047" right="0.5511811023622047" top="0.5905511811023623" bottom="0.5905511811023623" header="0" footer="0"/>
  <pageSetup fitToHeight="1" fitToWidth="1" horizontalDpi="600" verticalDpi="600" orientation="landscape" paperSize="9" r:id="rId1"/>
  <ignoredErrors>
    <ignoredError sqref="F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>
    <tabColor indexed="19"/>
    <pageSetUpPr fitToPage="1"/>
  </sheetPr>
  <dimension ref="A1:O53"/>
  <sheetViews>
    <sheetView workbookViewId="0" topLeftCell="A1">
      <selection activeCell="C60" sqref="C60"/>
    </sheetView>
  </sheetViews>
  <sheetFormatPr defaultColWidth="9.140625" defaultRowHeight="12.75"/>
  <cols>
    <col min="2" max="2" width="19.28125" style="0" customWidth="1"/>
    <col min="3" max="3" width="32.421875" style="0" customWidth="1"/>
    <col min="4" max="4" width="21.7109375" style="0" bestFit="1" customWidth="1"/>
    <col min="5" max="5" width="18.57421875" style="0" bestFit="1" customWidth="1"/>
    <col min="6" max="6" width="5.140625" style="0" customWidth="1"/>
    <col min="7" max="7" width="11.00390625" style="0" customWidth="1"/>
  </cols>
  <sheetData>
    <row r="1" spans="1:15" ht="33">
      <c r="A1" s="136"/>
      <c r="B1" s="316" t="s">
        <v>244</v>
      </c>
      <c r="C1" s="298"/>
      <c r="D1" s="298"/>
      <c r="E1" s="298"/>
      <c r="F1" s="298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30">
      <c r="A2" s="136"/>
      <c r="B2" s="299"/>
      <c r="C2" s="297" t="s">
        <v>218</v>
      </c>
      <c r="D2" s="298"/>
      <c r="E2" s="298"/>
      <c r="F2" s="298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12.75">
      <c r="A3" s="13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17.25">
      <c r="A4" s="136"/>
      <c r="B4" s="311" t="s">
        <v>214</v>
      </c>
      <c r="C4" s="310" t="s">
        <v>228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s="112" customFormat="1" ht="17.25">
      <c r="A5" s="292"/>
      <c r="B5" s="295" t="s">
        <v>208</v>
      </c>
      <c r="C5" s="295" t="s">
        <v>208</v>
      </c>
      <c r="D5" s="302" t="s">
        <v>209</v>
      </c>
      <c r="E5" s="302" t="s">
        <v>212</v>
      </c>
      <c r="F5" s="289"/>
      <c r="G5" s="307" t="s">
        <v>219</v>
      </c>
      <c r="H5" s="289"/>
      <c r="I5" s="289"/>
      <c r="J5" s="289"/>
      <c r="K5" s="289"/>
      <c r="L5" s="289"/>
      <c r="M5" s="289"/>
      <c r="N5" s="289"/>
      <c r="O5" s="289"/>
    </row>
    <row r="6" spans="1:15" s="112" customFormat="1" ht="17.25">
      <c r="A6" s="292"/>
      <c r="B6" s="296" t="s">
        <v>211</v>
      </c>
      <c r="C6" s="296" t="s">
        <v>230</v>
      </c>
      <c r="D6" s="303" t="s">
        <v>210</v>
      </c>
      <c r="E6" s="303" t="s">
        <v>213</v>
      </c>
      <c r="F6" s="289"/>
      <c r="G6" s="305" t="s">
        <v>222</v>
      </c>
      <c r="H6" s="289"/>
      <c r="I6" s="289"/>
      <c r="J6" s="289"/>
      <c r="K6" s="289"/>
      <c r="L6" s="289"/>
      <c r="M6" s="289"/>
      <c r="N6" s="289"/>
      <c r="O6" s="289"/>
    </row>
    <row r="7" spans="1:15" ht="17.25">
      <c r="A7" s="136"/>
      <c r="B7" s="293" t="s">
        <v>224</v>
      </c>
      <c r="C7" s="312" t="s">
        <v>231</v>
      </c>
      <c r="D7" s="294">
        <f>Fon!G76</f>
        <v>773.57</v>
      </c>
      <c r="E7" s="294">
        <f>Fon!I76</f>
        <v>193.79999999999382</v>
      </c>
      <c r="F7" s="256"/>
      <c r="G7" s="306" t="s">
        <v>220</v>
      </c>
      <c r="H7" s="256"/>
      <c r="I7" s="256"/>
      <c r="J7" s="256"/>
      <c r="K7" s="256"/>
      <c r="L7" s="256"/>
      <c r="M7" s="256"/>
      <c r="N7" s="256"/>
      <c r="O7" s="256"/>
    </row>
    <row r="8" spans="1:15" ht="17.25">
      <c r="A8" s="136"/>
      <c r="B8" s="293" t="s">
        <v>216</v>
      </c>
      <c r="C8" s="312" t="s">
        <v>232</v>
      </c>
      <c r="D8" s="294">
        <f>Tahvil!N23</f>
        <v>0</v>
      </c>
      <c r="E8" s="294">
        <f>Tahvil!L23</f>
        <v>0</v>
      </c>
      <c r="F8" s="256"/>
      <c r="G8" s="306" t="s">
        <v>223</v>
      </c>
      <c r="H8" s="256"/>
      <c r="I8" s="256"/>
      <c r="J8" s="256"/>
      <c r="K8" s="256"/>
      <c r="L8" s="256"/>
      <c r="M8" s="256"/>
      <c r="N8" s="256"/>
      <c r="O8" s="256"/>
    </row>
    <row r="9" spans="1:15" ht="17.25">
      <c r="A9" s="136"/>
      <c r="B9" s="293"/>
      <c r="C9" s="312"/>
      <c r="D9" s="294"/>
      <c r="E9" s="294"/>
      <c r="F9" s="256"/>
      <c r="G9" s="306"/>
      <c r="H9" s="256"/>
      <c r="I9" s="256"/>
      <c r="J9" s="256"/>
      <c r="K9" s="256"/>
      <c r="L9" s="256"/>
      <c r="M9" s="256"/>
      <c r="N9" s="256"/>
      <c r="O9" s="256"/>
    </row>
    <row r="10" spans="1:15" ht="17.25">
      <c r="A10" s="136"/>
      <c r="B10" s="300" t="s">
        <v>268</v>
      </c>
      <c r="C10" s="301"/>
      <c r="D10" s="304">
        <f>SUM(D7:D9)</f>
        <v>773.57</v>
      </c>
      <c r="E10" s="304">
        <f>SUM(E7:E9)</f>
        <v>193.79999999999382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</row>
    <row r="11" spans="1:15" ht="12.75">
      <c r="A11" s="136"/>
      <c r="B11" s="290"/>
      <c r="C11" s="290"/>
      <c r="D11" s="291"/>
      <c r="E11" s="291"/>
      <c r="F11" s="256"/>
      <c r="G11" s="256"/>
      <c r="H11" s="256"/>
      <c r="I11" s="256"/>
      <c r="J11" s="256"/>
      <c r="K11" s="256"/>
      <c r="L11" s="256"/>
      <c r="M11" s="256"/>
      <c r="N11" s="256"/>
      <c r="O11" s="256"/>
    </row>
    <row r="12" spans="1:15" ht="12.75">
      <c r="A12" s="136"/>
      <c r="B12" s="290"/>
      <c r="C12" s="290"/>
      <c r="D12" s="291"/>
      <c r="E12" s="291"/>
      <c r="F12" s="256"/>
      <c r="G12" s="256"/>
      <c r="H12" s="256"/>
      <c r="I12" s="256"/>
      <c r="J12" s="256"/>
      <c r="K12" s="256"/>
      <c r="L12" s="256"/>
      <c r="M12" s="256"/>
      <c r="N12" s="256"/>
      <c r="O12" s="256"/>
    </row>
    <row r="13" spans="1:15" ht="17.25">
      <c r="A13" s="136"/>
      <c r="B13" s="311" t="s">
        <v>215</v>
      </c>
      <c r="C13" s="310" t="s">
        <v>229</v>
      </c>
      <c r="D13" s="291"/>
      <c r="E13" s="291"/>
      <c r="F13" s="256"/>
      <c r="G13" s="256"/>
      <c r="H13" s="256"/>
      <c r="I13" s="256"/>
      <c r="J13" s="256"/>
      <c r="K13" s="256"/>
      <c r="L13" s="256"/>
      <c r="M13" s="256"/>
      <c r="N13" s="256"/>
      <c r="O13" s="256"/>
    </row>
    <row r="14" spans="1:15" ht="17.25">
      <c r="A14" s="136"/>
      <c r="B14" s="293" t="s">
        <v>224</v>
      </c>
      <c r="C14" s="312" t="s">
        <v>231</v>
      </c>
      <c r="D14" s="294">
        <f>FonKıdem!G26</f>
        <v>0</v>
      </c>
      <c r="E14" s="294">
        <f>FonKıdem!I26</f>
        <v>0</v>
      </c>
      <c r="F14" s="256"/>
      <c r="G14" s="306" t="s">
        <v>221</v>
      </c>
      <c r="H14" s="256"/>
      <c r="I14" s="256"/>
      <c r="J14" s="256"/>
      <c r="K14" s="256"/>
      <c r="L14" s="256"/>
      <c r="M14" s="256"/>
      <c r="N14" s="256"/>
      <c r="O14" s="256"/>
    </row>
    <row r="15" spans="1:15" ht="17.25">
      <c r="A15" s="136"/>
      <c r="B15" s="300" t="s">
        <v>268</v>
      </c>
      <c r="C15" s="301"/>
      <c r="D15" s="304">
        <f>SUM(D11:D14)</f>
        <v>0</v>
      </c>
      <c r="E15" s="304">
        <f>SUM(E11:E14)</f>
        <v>0</v>
      </c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12.75">
      <c r="A16" s="136"/>
      <c r="B16" s="290"/>
      <c r="C16" s="290"/>
      <c r="D16" s="291"/>
      <c r="E16" s="291"/>
      <c r="F16" s="256"/>
      <c r="G16" s="256"/>
      <c r="H16" s="256"/>
      <c r="I16" s="256"/>
      <c r="J16" s="256"/>
      <c r="K16" s="256"/>
      <c r="L16" s="256"/>
      <c r="M16" s="256"/>
      <c r="N16" s="256"/>
      <c r="O16" s="256"/>
    </row>
    <row r="17" spans="1:15" ht="12.75">
      <c r="A17" s="136"/>
      <c r="B17" s="290"/>
      <c r="C17" s="290"/>
      <c r="D17" s="291"/>
      <c r="E17" s="291"/>
      <c r="F17" s="256"/>
      <c r="G17" s="256"/>
      <c r="H17" s="256"/>
      <c r="I17" s="256"/>
      <c r="J17" s="256"/>
      <c r="K17" s="256"/>
      <c r="L17" s="256"/>
      <c r="M17" s="256"/>
      <c r="N17" s="256"/>
      <c r="O17" s="256"/>
    </row>
    <row r="18" spans="1:15" ht="17.25">
      <c r="A18" s="136"/>
      <c r="B18" s="313" t="s">
        <v>21</v>
      </c>
      <c r="C18" s="314"/>
      <c r="D18" s="315">
        <f>D10+D15</f>
        <v>773.57</v>
      </c>
      <c r="E18" s="315">
        <f>E10+E15</f>
        <v>193.79999999999382</v>
      </c>
      <c r="F18" s="256"/>
      <c r="G18" s="256"/>
      <c r="H18" s="256"/>
      <c r="I18" s="256"/>
      <c r="J18" s="256"/>
      <c r="K18" s="256"/>
      <c r="L18" s="256"/>
      <c r="M18" s="256"/>
      <c r="N18" s="256"/>
      <c r="O18" s="256"/>
    </row>
    <row r="19" spans="1:15" ht="12.75">
      <c r="A19" s="136"/>
      <c r="B19" s="290"/>
      <c r="C19" s="290"/>
      <c r="D19" s="291"/>
      <c r="E19" s="291"/>
      <c r="F19" s="256"/>
      <c r="G19" s="256"/>
      <c r="H19" s="256"/>
      <c r="I19" s="256"/>
      <c r="J19" s="256"/>
      <c r="K19" s="256"/>
      <c r="L19" s="256"/>
      <c r="M19" s="256"/>
      <c r="N19" s="256"/>
      <c r="O19" s="256"/>
    </row>
    <row r="20" spans="1:15" ht="12.75">
      <c r="A20" s="136"/>
      <c r="B20" s="323" t="s">
        <v>247</v>
      </c>
      <c r="C20" s="290"/>
      <c r="D20" s="291"/>
      <c r="E20" s="291"/>
      <c r="F20" s="256"/>
      <c r="G20" s="256"/>
      <c r="H20" s="256"/>
      <c r="I20" s="256"/>
      <c r="J20" s="256"/>
      <c r="K20" s="256"/>
      <c r="L20" s="256"/>
      <c r="M20" s="256"/>
      <c r="N20" s="256"/>
      <c r="O20" s="256"/>
    </row>
    <row r="21" spans="1:15" ht="12.75">
      <c r="A21" s="136"/>
      <c r="B21" s="323" t="s">
        <v>248</v>
      </c>
      <c r="C21" s="290"/>
      <c r="D21" s="319"/>
      <c r="E21" s="291"/>
      <c r="F21" s="256"/>
      <c r="G21" s="256"/>
      <c r="H21" s="256"/>
      <c r="I21" s="256"/>
      <c r="J21" s="256"/>
      <c r="K21" s="256"/>
      <c r="L21" s="256"/>
      <c r="M21" s="256"/>
      <c r="N21" s="256"/>
      <c r="O21" s="256"/>
    </row>
    <row r="22" spans="1:15" ht="12.75">
      <c r="A22" s="136"/>
      <c r="B22" s="323" t="s">
        <v>293</v>
      </c>
      <c r="C22" s="290"/>
      <c r="D22" s="291"/>
      <c r="E22" s="291"/>
      <c r="F22" s="256"/>
      <c r="G22" s="256"/>
      <c r="H22" s="256"/>
      <c r="I22" s="256"/>
      <c r="J22" s="256"/>
      <c r="K22" s="256"/>
      <c r="L22" s="256"/>
      <c r="M22" s="256"/>
      <c r="N22" s="256"/>
      <c r="O22" s="256"/>
    </row>
    <row r="23" spans="1:15" ht="12.75">
      <c r="A23" s="136"/>
      <c r="B23" s="323" t="s">
        <v>441</v>
      </c>
      <c r="C23" s="290"/>
      <c r="D23" s="291"/>
      <c r="E23" s="291"/>
      <c r="F23" s="256"/>
      <c r="G23" s="256"/>
      <c r="H23" s="256"/>
      <c r="I23" s="256"/>
      <c r="J23" s="256"/>
      <c r="K23" s="256"/>
      <c r="L23" s="256"/>
      <c r="M23" s="256"/>
      <c r="N23" s="256"/>
      <c r="O23" s="256"/>
    </row>
    <row r="24" spans="1:15" ht="12.75">
      <c r="A24" s="136"/>
      <c r="B24" s="290"/>
      <c r="C24" s="290"/>
      <c r="D24" s="291"/>
      <c r="E24" s="291"/>
      <c r="F24" s="256"/>
      <c r="G24" s="256"/>
      <c r="H24" s="256"/>
      <c r="I24" s="256"/>
      <c r="J24" s="256"/>
      <c r="K24" s="256"/>
      <c r="L24" s="256"/>
      <c r="M24" s="256"/>
      <c r="N24" s="256"/>
      <c r="O24" s="256"/>
    </row>
    <row r="25" spans="1:15" ht="12.75">
      <c r="A25" s="136"/>
      <c r="B25" s="290"/>
      <c r="C25" s="290"/>
      <c r="D25" s="291"/>
      <c r="E25" s="291"/>
      <c r="F25" s="256"/>
      <c r="G25" s="256"/>
      <c r="H25" s="256"/>
      <c r="I25" s="256"/>
      <c r="J25" s="256"/>
      <c r="K25" s="256"/>
      <c r="L25" s="256"/>
      <c r="M25" s="256"/>
      <c r="N25" s="256"/>
      <c r="O25" s="256"/>
    </row>
    <row r="26" spans="1:15" ht="12.75">
      <c r="A26" s="136"/>
      <c r="B26" s="290"/>
      <c r="C26" s="290"/>
      <c r="D26" s="291"/>
      <c r="E26" s="291"/>
      <c r="F26" s="256"/>
      <c r="G26" s="256"/>
      <c r="H26" s="256"/>
      <c r="I26" s="256"/>
      <c r="J26" s="256"/>
      <c r="K26" s="256"/>
      <c r="L26" s="256"/>
      <c r="M26" s="256"/>
      <c r="N26" s="256"/>
      <c r="O26" s="256"/>
    </row>
    <row r="27" spans="1:15" ht="12.75">
      <c r="A27" s="136"/>
      <c r="B27" s="290"/>
      <c r="C27" s="290"/>
      <c r="D27" s="291"/>
      <c r="E27" s="291"/>
      <c r="F27" s="256"/>
      <c r="G27" s="256"/>
      <c r="H27" s="256"/>
      <c r="I27" s="256"/>
      <c r="J27" s="256"/>
      <c r="K27" s="256"/>
      <c r="L27" s="256"/>
      <c r="M27" s="256"/>
      <c r="N27" s="256"/>
      <c r="O27" s="256"/>
    </row>
    <row r="28" spans="1:15" ht="12.75">
      <c r="A28" s="136"/>
      <c r="B28" s="290"/>
      <c r="C28" s="290"/>
      <c r="D28" s="291"/>
      <c r="E28" s="291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1:15" ht="12.75">
      <c r="A29" s="136"/>
      <c r="B29" s="290"/>
      <c r="C29" s="290"/>
      <c r="D29" s="291"/>
      <c r="E29" s="291"/>
      <c r="F29" s="256"/>
      <c r="G29" s="256"/>
      <c r="H29" s="256"/>
      <c r="I29" s="256"/>
      <c r="J29" s="256"/>
      <c r="K29" s="256"/>
      <c r="L29" s="256"/>
      <c r="M29" s="256"/>
      <c r="N29" s="256"/>
      <c r="O29" s="256"/>
    </row>
    <row r="30" spans="1:15" ht="12.75">
      <c r="A30" s="136"/>
      <c r="B30" s="290"/>
      <c r="C30" s="290"/>
      <c r="D30" s="291"/>
      <c r="E30" s="291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ht="12.75">
      <c r="A31" s="136"/>
      <c r="B31" s="290"/>
      <c r="C31" s="290"/>
      <c r="D31" s="291"/>
      <c r="E31" s="291"/>
      <c r="F31" s="256"/>
      <c r="G31" s="256"/>
      <c r="H31" s="256"/>
      <c r="I31" s="256"/>
      <c r="J31" s="256"/>
      <c r="K31" s="256"/>
      <c r="L31" s="256"/>
      <c r="M31" s="256"/>
      <c r="N31" s="256"/>
      <c r="O31" s="256"/>
    </row>
    <row r="32" spans="1:15" ht="12.75">
      <c r="A32" s="136"/>
      <c r="B32" s="290"/>
      <c r="C32" s="290"/>
      <c r="D32" s="291"/>
      <c r="E32" s="291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1:15" ht="12.75">
      <c r="A33" s="136"/>
      <c r="B33" s="290"/>
      <c r="C33" s="290"/>
      <c r="D33" s="291"/>
      <c r="E33" s="291"/>
      <c r="F33" s="256"/>
      <c r="G33" s="256"/>
      <c r="H33" s="256"/>
      <c r="I33" s="256"/>
      <c r="J33" s="256"/>
      <c r="K33" s="256"/>
      <c r="L33" s="256"/>
      <c r="M33" s="256"/>
      <c r="N33" s="256"/>
      <c r="O33" s="256"/>
    </row>
    <row r="34" spans="1:15" ht="12.75">
      <c r="A34" s="136"/>
      <c r="B34" s="290"/>
      <c r="C34" s="290"/>
      <c r="D34" s="291"/>
      <c r="E34" s="291"/>
      <c r="F34" s="256"/>
      <c r="G34" s="256"/>
      <c r="H34" s="256"/>
      <c r="I34" s="256"/>
      <c r="J34" s="256"/>
      <c r="K34" s="256"/>
      <c r="L34" s="256"/>
      <c r="M34" s="256"/>
      <c r="N34" s="256"/>
      <c r="O34" s="256"/>
    </row>
    <row r="35" spans="1:15" ht="12.75">
      <c r="A35" s="136"/>
      <c r="B35" s="290"/>
      <c r="C35" s="290"/>
      <c r="D35" s="291"/>
      <c r="E35" s="291"/>
      <c r="F35" s="256"/>
      <c r="G35" s="256"/>
      <c r="H35" s="256"/>
      <c r="I35" s="256"/>
      <c r="J35" s="256"/>
      <c r="K35" s="256"/>
      <c r="L35" s="256"/>
      <c r="M35" s="256"/>
      <c r="N35" s="256"/>
      <c r="O35" s="256"/>
    </row>
    <row r="36" spans="1:15" ht="12.75">
      <c r="A36" s="136"/>
      <c r="B36" s="290"/>
      <c r="C36" s="290"/>
      <c r="D36" s="291"/>
      <c r="E36" s="291"/>
      <c r="F36" s="256"/>
      <c r="G36" s="256"/>
      <c r="H36" s="256"/>
      <c r="I36" s="256"/>
      <c r="J36" s="256"/>
      <c r="K36" s="256"/>
      <c r="L36" s="256"/>
      <c r="M36" s="256"/>
      <c r="N36" s="256"/>
      <c r="O36" s="256"/>
    </row>
    <row r="37" spans="1:15" ht="12.75">
      <c r="A37" s="136"/>
      <c r="B37" s="290"/>
      <c r="C37" s="290"/>
      <c r="D37" s="291"/>
      <c r="E37" s="291"/>
      <c r="F37" s="256"/>
      <c r="G37" s="256"/>
      <c r="H37" s="256"/>
      <c r="I37" s="256"/>
      <c r="J37" s="256"/>
      <c r="K37" s="256"/>
      <c r="L37" s="256"/>
      <c r="M37" s="256"/>
      <c r="N37" s="256"/>
      <c r="O37" s="256"/>
    </row>
    <row r="38" spans="1:15" ht="12.75">
      <c r="A38" s="136"/>
      <c r="B38" s="290"/>
      <c r="C38" s="290"/>
      <c r="D38" s="291"/>
      <c r="E38" s="291"/>
      <c r="F38" s="256"/>
      <c r="G38" s="256"/>
      <c r="H38" s="256"/>
      <c r="I38" s="256"/>
      <c r="J38" s="256"/>
      <c r="K38" s="256"/>
      <c r="L38" s="256"/>
      <c r="M38" s="256"/>
      <c r="N38" s="256"/>
      <c r="O38" s="256"/>
    </row>
    <row r="39" spans="1:15" ht="12.75">
      <c r="A39" s="136"/>
      <c r="B39" s="290"/>
      <c r="C39" s="290"/>
      <c r="D39" s="291"/>
      <c r="E39" s="291"/>
      <c r="F39" s="256"/>
      <c r="G39" s="256"/>
      <c r="H39" s="256"/>
      <c r="I39" s="256"/>
      <c r="J39" s="256"/>
      <c r="K39" s="256"/>
      <c r="L39" s="256"/>
      <c r="M39" s="256"/>
      <c r="N39" s="256"/>
      <c r="O39" s="256"/>
    </row>
    <row r="40" spans="1:15" ht="12.75">
      <c r="A40" s="136"/>
      <c r="B40" s="290"/>
      <c r="C40" s="290"/>
      <c r="D40" s="291"/>
      <c r="E40" s="291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2.75">
      <c r="A41" s="136"/>
      <c r="B41" s="290"/>
      <c r="C41" s="290"/>
      <c r="D41" s="291"/>
      <c r="E41" s="291"/>
      <c r="F41" s="256"/>
      <c r="G41" s="256"/>
      <c r="H41" s="256"/>
      <c r="I41" s="256"/>
      <c r="J41" s="256"/>
      <c r="K41" s="256"/>
      <c r="L41" s="256"/>
      <c r="M41" s="256"/>
      <c r="N41" s="256"/>
      <c r="O41" s="256"/>
    </row>
    <row r="42" spans="1:15" ht="12.75">
      <c r="A42" s="136"/>
      <c r="B42" s="290"/>
      <c r="C42" s="290"/>
      <c r="D42" s="291"/>
      <c r="E42" s="291"/>
      <c r="F42" s="256"/>
      <c r="G42" s="256"/>
      <c r="H42" s="256"/>
      <c r="I42" s="256"/>
      <c r="J42" s="256"/>
      <c r="K42" s="256"/>
      <c r="L42" s="256"/>
      <c r="M42" s="256"/>
      <c r="N42" s="256"/>
      <c r="O42" s="256"/>
    </row>
    <row r="43" spans="1:15" ht="12.75">
      <c r="A43" s="136"/>
      <c r="B43" s="290"/>
      <c r="C43" s="290"/>
      <c r="D43" s="291"/>
      <c r="E43" s="291"/>
      <c r="F43" s="256"/>
      <c r="G43" s="256"/>
      <c r="H43" s="256"/>
      <c r="I43" s="256"/>
      <c r="J43" s="256"/>
      <c r="K43" s="256"/>
      <c r="L43" s="256"/>
      <c r="M43" s="256"/>
      <c r="N43" s="256"/>
      <c r="O43" s="256"/>
    </row>
    <row r="44" spans="1:15" ht="12.75">
      <c r="A44" s="136"/>
      <c r="B44" s="290"/>
      <c r="C44" s="290"/>
      <c r="D44" s="291"/>
      <c r="E44" s="291"/>
      <c r="F44" s="256"/>
      <c r="G44" s="256"/>
      <c r="H44" s="256"/>
      <c r="I44" s="256"/>
      <c r="J44" s="256"/>
      <c r="K44" s="256"/>
      <c r="L44" s="256"/>
      <c r="M44" s="256"/>
      <c r="N44" s="256"/>
      <c r="O44" s="256"/>
    </row>
    <row r="45" spans="1:15" ht="12.75">
      <c r="A45" s="136"/>
      <c r="B45" s="290"/>
      <c r="C45" s="290"/>
      <c r="D45" s="291"/>
      <c r="E45" s="291"/>
      <c r="F45" s="256"/>
      <c r="G45" s="256"/>
      <c r="H45" s="256"/>
      <c r="I45" s="256"/>
      <c r="J45" s="256"/>
      <c r="K45" s="256"/>
      <c r="L45" s="256"/>
      <c r="M45" s="256"/>
      <c r="N45" s="256"/>
      <c r="O45" s="256"/>
    </row>
    <row r="46" spans="1:15" ht="12.75">
      <c r="A46" s="136"/>
      <c r="B46" s="290"/>
      <c r="C46" s="290"/>
      <c r="D46" s="291"/>
      <c r="E46" s="291"/>
      <c r="F46" s="256"/>
      <c r="G46" s="256"/>
      <c r="H46" s="256"/>
      <c r="I46" s="256"/>
      <c r="J46" s="256"/>
      <c r="K46" s="256"/>
      <c r="L46" s="256"/>
      <c r="M46" s="256"/>
      <c r="N46" s="256"/>
      <c r="O46" s="256"/>
    </row>
    <row r="47" spans="1:15" ht="12.75">
      <c r="A47" s="136"/>
      <c r="B47" s="290"/>
      <c r="C47" s="290"/>
      <c r="D47" s="291"/>
      <c r="E47" s="291"/>
      <c r="F47" s="256"/>
      <c r="G47" s="256"/>
      <c r="H47" s="256"/>
      <c r="I47" s="256"/>
      <c r="J47" s="256"/>
      <c r="K47" s="256"/>
      <c r="L47" s="256"/>
      <c r="M47" s="256"/>
      <c r="N47" s="256"/>
      <c r="O47" s="256"/>
    </row>
    <row r="48" spans="1:15" ht="12.75">
      <c r="A48" s="136"/>
      <c r="B48" s="290"/>
      <c r="C48" s="290"/>
      <c r="D48" s="291"/>
      <c r="E48" s="291"/>
      <c r="F48" s="256"/>
      <c r="G48" s="256"/>
      <c r="H48" s="256"/>
      <c r="I48" s="256"/>
      <c r="J48" s="256"/>
      <c r="K48" s="256"/>
      <c r="L48" s="256"/>
      <c r="M48" s="256"/>
      <c r="N48" s="256"/>
      <c r="O48" s="256"/>
    </row>
    <row r="49" spans="1:15" ht="12.75">
      <c r="A49" s="136"/>
      <c r="B49" s="290"/>
      <c r="C49" s="290"/>
      <c r="D49" s="291"/>
      <c r="E49" s="291"/>
      <c r="F49" s="256"/>
      <c r="G49" s="256"/>
      <c r="H49" s="256"/>
      <c r="I49" s="256"/>
      <c r="J49" s="256"/>
      <c r="K49" s="256"/>
      <c r="L49" s="256"/>
      <c r="M49" s="256"/>
      <c r="N49" s="256"/>
      <c r="O49" s="256"/>
    </row>
    <row r="50" spans="1:15" ht="12.75">
      <c r="A50" s="136"/>
      <c r="B50" s="290"/>
      <c r="C50" s="290"/>
      <c r="D50" s="291"/>
      <c r="E50" s="291"/>
      <c r="F50" s="256"/>
      <c r="G50" s="256"/>
      <c r="H50" s="256"/>
      <c r="I50" s="256"/>
      <c r="J50" s="256"/>
      <c r="K50" s="256"/>
      <c r="L50" s="256"/>
      <c r="M50" s="256"/>
      <c r="N50" s="256"/>
      <c r="O50" s="256"/>
    </row>
    <row r="51" spans="1:15" ht="12.75">
      <c r="A51" s="136"/>
      <c r="B51" s="290"/>
      <c r="C51" s="290"/>
      <c r="D51" s="291"/>
      <c r="E51" s="291"/>
      <c r="F51" s="256"/>
      <c r="G51" s="256"/>
      <c r="H51" s="256"/>
      <c r="I51" s="256"/>
      <c r="J51" s="256"/>
      <c r="K51" s="256"/>
      <c r="L51" s="256"/>
      <c r="M51" s="256"/>
      <c r="N51" s="256"/>
      <c r="O51" s="256"/>
    </row>
    <row r="52" spans="1:15" ht="12.75">
      <c r="A52" s="136"/>
      <c r="B52" s="290"/>
      <c r="C52" s="290"/>
      <c r="D52" s="291"/>
      <c r="E52" s="291"/>
      <c r="F52" s="256"/>
      <c r="G52" s="256"/>
      <c r="H52" s="256"/>
      <c r="I52" s="256"/>
      <c r="J52" s="256"/>
      <c r="K52" s="256"/>
      <c r="L52" s="256"/>
      <c r="M52" s="256"/>
      <c r="N52" s="256"/>
      <c r="O52" s="256"/>
    </row>
    <row r="53" spans="1:15" ht="12.75">
      <c r="A53" s="136"/>
      <c r="B53" s="290"/>
      <c r="C53" s="290"/>
      <c r="D53" s="291"/>
      <c r="E53" s="291"/>
      <c r="F53" s="256"/>
      <c r="G53" s="256"/>
      <c r="H53" s="256"/>
      <c r="I53" s="256"/>
      <c r="J53" s="256"/>
      <c r="K53" s="256"/>
      <c r="L53" s="256"/>
      <c r="M53" s="256"/>
      <c r="N53" s="256"/>
      <c r="O53" s="256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31"/>
  </sheetPr>
  <dimension ref="A1:E53"/>
  <sheetViews>
    <sheetView workbookViewId="0" topLeftCell="A1">
      <selection activeCell="A74" sqref="A74"/>
    </sheetView>
  </sheetViews>
  <sheetFormatPr defaultColWidth="9.140625" defaultRowHeight="12.75"/>
  <cols>
    <col min="1" max="1" width="44.140625" style="0" customWidth="1"/>
    <col min="2" max="2" width="18.8515625" style="321" customWidth="1"/>
    <col min="3" max="3" width="17.421875" style="321" customWidth="1"/>
    <col min="4" max="4" width="18.8515625" style="321" customWidth="1"/>
    <col min="5" max="5" width="21.8515625" style="321" customWidth="1"/>
  </cols>
  <sheetData>
    <row r="1" ht="17.25">
      <c r="A1" s="365" t="s">
        <v>297</v>
      </c>
    </row>
    <row r="3" spans="1:3" ht="12.75">
      <c r="A3" s="366" t="s">
        <v>124</v>
      </c>
      <c r="B3" s="367" t="s">
        <v>13</v>
      </c>
      <c r="C3" s="367" t="s">
        <v>14</v>
      </c>
    </row>
    <row r="4" spans="1:3" ht="12.75">
      <c r="A4" s="368" t="s">
        <v>151</v>
      </c>
      <c r="B4" s="478">
        <v>520</v>
      </c>
      <c r="C4" s="478">
        <f>B4*12</f>
        <v>6240</v>
      </c>
    </row>
    <row r="5" spans="1:3" ht="12.75">
      <c r="A5" s="368" t="s">
        <v>152</v>
      </c>
      <c r="B5" s="478">
        <v>235</v>
      </c>
      <c r="C5" s="478">
        <f>B5*12</f>
        <v>2820</v>
      </c>
    </row>
    <row r="6" spans="1:3" ht="12.75">
      <c r="A6" s="368" t="s">
        <v>153</v>
      </c>
      <c r="B6" s="478"/>
      <c r="C6" s="478">
        <f>B4*2</f>
        <v>1040</v>
      </c>
    </row>
    <row r="7" spans="1:3" ht="12.75">
      <c r="A7" s="368" t="s">
        <v>154</v>
      </c>
      <c r="B7" s="478">
        <v>60</v>
      </c>
      <c r="C7" s="478">
        <f>B7*5</f>
        <v>300</v>
      </c>
    </row>
    <row r="8" spans="1:3" ht="12.75">
      <c r="A8" s="368" t="s">
        <v>155</v>
      </c>
      <c r="B8" s="478"/>
      <c r="C8" s="478">
        <v>1000</v>
      </c>
    </row>
    <row r="9" spans="1:3" ht="12.75">
      <c r="A9" s="368" t="s">
        <v>292</v>
      </c>
      <c r="B9" s="478"/>
      <c r="C9" s="478">
        <v>10050</v>
      </c>
    </row>
    <row r="10" spans="1:3" ht="12.75">
      <c r="A10" s="368" t="s">
        <v>15</v>
      </c>
      <c r="B10" s="478">
        <v>60</v>
      </c>
      <c r="C10" s="478">
        <f>B10*12</f>
        <v>720</v>
      </c>
    </row>
    <row r="11" spans="1:3" ht="12.75">
      <c r="A11" s="368" t="s">
        <v>16</v>
      </c>
      <c r="B11" s="478">
        <v>25</v>
      </c>
      <c r="C11" s="478">
        <f>B11*12</f>
        <v>300</v>
      </c>
    </row>
    <row r="12" spans="1:3" ht="12.75">
      <c r="A12" s="368" t="s">
        <v>17</v>
      </c>
      <c r="B12" s="478">
        <v>85</v>
      </c>
      <c r="C12" s="478">
        <f>B12*12</f>
        <v>1020</v>
      </c>
    </row>
    <row r="13" spans="1:3" ht="12.75">
      <c r="A13" s="368" t="s">
        <v>291</v>
      </c>
      <c r="B13" s="478"/>
      <c r="C13" s="478">
        <v>80</v>
      </c>
    </row>
    <row r="14" spans="1:3" ht="12.75">
      <c r="A14" s="368" t="s">
        <v>18</v>
      </c>
      <c r="B14" s="478"/>
      <c r="C14" s="478">
        <v>3500</v>
      </c>
    </row>
    <row r="15" spans="1:3" ht="12.75">
      <c r="A15" s="368" t="s">
        <v>158</v>
      </c>
      <c r="B15" s="478"/>
      <c r="C15" s="478">
        <v>50</v>
      </c>
    </row>
    <row r="16" spans="1:3" ht="12.75">
      <c r="A16" s="368" t="s">
        <v>6</v>
      </c>
      <c r="B16" s="478"/>
      <c r="C16" s="478">
        <v>0</v>
      </c>
    </row>
    <row r="17" spans="1:3" ht="12.75">
      <c r="A17" s="405" t="s">
        <v>56</v>
      </c>
      <c r="B17" s="406"/>
      <c r="C17" s="406">
        <f>SUM(C4:C16)</f>
        <v>27120</v>
      </c>
    </row>
    <row r="18" spans="1:3" ht="12.75">
      <c r="A18" s="177"/>
      <c r="B18" s="404"/>
      <c r="C18" s="404"/>
    </row>
    <row r="19" spans="4:5" ht="12.75">
      <c r="D19" s="401" t="s">
        <v>286</v>
      </c>
      <c r="E19" s="401" t="s">
        <v>286</v>
      </c>
    </row>
    <row r="20" spans="2:5" s="369" customFormat="1" ht="12.75">
      <c r="B20" s="370"/>
      <c r="C20" s="371" t="s">
        <v>270</v>
      </c>
      <c r="D20" s="371" t="s">
        <v>288</v>
      </c>
      <c r="E20" s="371" t="s">
        <v>287</v>
      </c>
    </row>
    <row r="21" spans="1:5" s="369" customFormat="1" ht="12.75">
      <c r="A21" s="372" t="s">
        <v>19</v>
      </c>
      <c r="B21" s="373"/>
      <c r="C21" s="373">
        <f>SUM(C4:C8)</f>
        <v>11400</v>
      </c>
      <c r="D21" s="373">
        <f>C24*C21/(C21+C22)</f>
        <v>472.89823008849555</v>
      </c>
      <c r="E21" s="373">
        <f>C21-D21</f>
        <v>10927.101769911504</v>
      </c>
    </row>
    <row r="22" spans="1:5" s="369" customFormat="1" ht="12.75">
      <c r="A22" s="372" t="s">
        <v>20</v>
      </c>
      <c r="B22" s="373"/>
      <c r="C22" s="373">
        <f>SUM(C9:C16)</f>
        <v>15720</v>
      </c>
      <c r="D22" s="373">
        <f>C24*C22/(C21+C22)</f>
        <v>652.1017699115044</v>
      </c>
      <c r="E22" s="373">
        <f>C22-D22</f>
        <v>15067.898230088496</v>
      </c>
    </row>
    <row r="23" spans="1:5" s="369" customFormat="1" ht="12.75">
      <c r="A23" s="372" t="s">
        <v>21</v>
      </c>
      <c r="B23" s="373"/>
      <c r="C23" s="374">
        <f>SUM(C21:C22)</f>
        <v>27120</v>
      </c>
      <c r="D23" s="373"/>
      <c r="E23" s="373">
        <f>SUM(E21:E22)</f>
        <v>25995</v>
      </c>
    </row>
    <row r="24" spans="1:5" s="369" customFormat="1" ht="12.75">
      <c r="A24" s="372" t="s">
        <v>271</v>
      </c>
      <c r="B24" s="373"/>
      <c r="C24" s="373">
        <v>1125</v>
      </c>
      <c r="D24" s="373">
        <f>SUM(D21:D23)</f>
        <v>1125</v>
      </c>
      <c r="E24" s="373"/>
    </row>
    <row r="25" spans="1:5" s="369" customFormat="1" ht="12.75">
      <c r="A25" s="375" t="s">
        <v>156</v>
      </c>
      <c r="B25" s="376"/>
      <c r="C25" s="374">
        <f>C23-C24</f>
        <v>25995</v>
      </c>
      <c r="D25" s="376"/>
      <c r="E25" s="377">
        <f>E23</f>
        <v>25995</v>
      </c>
    </row>
    <row r="26" ht="12.75">
      <c r="C26" s="378"/>
    </row>
    <row r="27" spans="1:5" ht="12.75">
      <c r="A27" s="379" t="s">
        <v>272</v>
      </c>
      <c r="B27" s="526" t="s">
        <v>14</v>
      </c>
      <c r="C27" s="526" t="s">
        <v>14</v>
      </c>
      <c r="D27" s="526"/>
      <c r="E27" s="526"/>
    </row>
    <row r="28" spans="1:5" ht="12.75">
      <c r="A28" s="379" t="s">
        <v>273</v>
      </c>
      <c r="B28" s="527" t="s">
        <v>23</v>
      </c>
      <c r="C28" s="527" t="s">
        <v>24</v>
      </c>
      <c r="D28" s="527"/>
      <c r="E28" s="527" t="s">
        <v>22</v>
      </c>
    </row>
    <row r="29" spans="1:5" ht="12.75">
      <c r="A29" s="379" t="s">
        <v>274</v>
      </c>
      <c r="B29" s="380" t="s">
        <v>275</v>
      </c>
      <c r="C29" s="380" t="s">
        <v>276</v>
      </c>
      <c r="D29" s="380" t="s">
        <v>25</v>
      </c>
      <c r="E29" s="380" t="s">
        <v>26</v>
      </c>
    </row>
    <row r="30" spans="1:5" ht="12.75">
      <c r="A30" s="381" t="s">
        <v>27</v>
      </c>
      <c r="B30" s="528">
        <f>E21/19</f>
        <v>575.1106194690265</v>
      </c>
      <c r="C30" s="528">
        <f>E22*16/240</f>
        <v>1004.5265486725664</v>
      </c>
      <c r="D30" s="528">
        <f>SUM(B30:C30)</f>
        <v>1579.6371681415928</v>
      </c>
      <c r="E30" s="528">
        <f>D30/12</f>
        <v>131.63643067846607</v>
      </c>
    </row>
    <row r="31" spans="1:5" ht="12.75">
      <c r="A31" s="381" t="s">
        <v>28</v>
      </c>
      <c r="B31" s="528">
        <f>E21/19</f>
        <v>575.1106194690265</v>
      </c>
      <c r="C31" s="528">
        <f>E22*14/240</f>
        <v>878.9607300884957</v>
      </c>
      <c r="D31" s="528">
        <f>SUM(B31:C31)</f>
        <v>1454.0713495575221</v>
      </c>
      <c r="E31" s="528">
        <f>D31/12</f>
        <v>121.17261246312684</v>
      </c>
    </row>
    <row r="32" spans="1:5" ht="12.75">
      <c r="A32" s="381" t="s">
        <v>29</v>
      </c>
      <c r="B32" s="528">
        <f>E21/19</f>
        <v>575.1106194690265</v>
      </c>
      <c r="C32" s="528">
        <f>E22*6/240</f>
        <v>376.6974557522124</v>
      </c>
      <c r="D32" s="528">
        <f>SUM(B32:C32)</f>
        <v>951.8080752212388</v>
      </c>
      <c r="E32" s="528">
        <f>D32/12</f>
        <v>79.3173396017699</v>
      </c>
    </row>
    <row r="33" spans="4:5" ht="12.75">
      <c r="D33" s="528">
        <f>SUM(D30:D32)</f>
        <v>3985.516592920354</v>
      </c>
      <c r="E33" s="528">
        <f>SUM(E30:E32)</f>
        <v>332.1263827433628</v>
      </c>
    </row>
    <row r="36" spans="1:5" ht="12.75">
      <c r="A36" s="382" t="s">
        <v>277</v>
      </c>
      <c r="B36" s="529"/>
      <c r="C36" s="530"/>
      <c r="D36" s="530" t="s">
        <v>157</v>
      </c>
      <c r="E36" s="531"/>
    </row>
    <row r="37" spans="1:5" ht="12.75">
      <c r="A37" s="383" t="s">
        <v>278</v>
      </c>
      <c r="B37" s="532"/>
      <c r="C37" s="533" t="s">
        <v>30</v>
      </c>
      <c r="D37" s="533" t="s">
        <v>31</v>
      </c>
      <c r="E37" s="534"/>
    </row>
    <row r="38" spans="1:5" ht="12.75">
      <c r="A38" s="384"/>
      <c r="B38" s="532"/>
      <c r="C38" s="535" t="s">
        <v>32</v>
      </c>
      <c r="D38" s="535" t="s">
        <v>32</v>
      </c>
      <c r="E38" s="399" t="s">
        <v>36</v>
      </c>
    </row>
    <row r="39" spans="1:5" ht="12.75">
      <c r="A39" s="385" t="s">
        <v>385</v>
      </c>
      <c r="B39" s="386">
        <v>40</v>
      </c>
      <c r="C39" s="386">
        <f>$E$32-B39</f>
        <v>39.3173396017699</v>
      </c>
      <c r="D39" s="386">
        <f>C39*5+E50/2</f>
        <v>271.5866980088495</v>
      </c>
      <c r="E39" s="386" t="s">
        <v>283</v>
      </c>
    </row>
    <row r="41" spans="3:5" ht="12.75">
      <c r="C41" s="387" t="s">
        <v>279</v>
      </c>
      <c r="D41" s="387" t="s">
        <v>9</v>
      </c>
      <c r="E41" s="387" t="s">
        <v>10</v>
      </c>
    </row>
    <row r="42" spans="3:5" ht="12.75">
      <c r="C42" s="388" t="s">
        <v>280</v>
      </c>
      <c r="D42" s="400" t="s">
        <v>284</v>
      </c>
      <c r="E42" s="400" t="s">
        <v>285</v>
      </c>
    </row>
    <row r="43" spans="1:5" ht="12.75">
      <c r="A43" s="389" t="s">
        <v>33</v>
      </c>
      <c r="B43" s="536" t="s">
        <v>34</v>
      </c>
      <c r="C43" s="536">
        <f>D39*$E$21/$E$23</f>
        <v>114.16255004796771</v>
      </c>
      <c r="D43" s="536">
        <f>C43/14</f>
        <v>8.154467860569122</v>
      </c>
      <c r="E43" s="536">
        <f>C43/14</f>
        <v>8.154467860569122</v>
      </c>
    </row>
    <row r="44" spans="1:5" ht="12.75">
      <c r="A44" s="390"/>
      <c r="B44" s="536" t="s">
        <v>35</v>
      </c>
      <c r="C44" s="536">
        <f>D39*$E$22/$E$23</f>
        <v>157.4241479608818</v>
      </c>
      <c r="D44" s="536">
        <f>C44*(16+2.5)/240</f>
        <v>12.13477807198464</v>
      </c>
      <c r="E44" s="536">
        <f>C44*(14+2.2)/240</f>
        <v>10.626129987359521</v>
      </c>
    </row>
    <row r="45" spans="1:5" ht="12.75">
      <c r="A45" s="391"/>
      <c r="B45" s="537" t="s">
        <v>36</v>
      </c>
      <c r="C45" s="538">
        <f>SUM(C43:C44)</f>
        <v>271.5866980088495</v>
      </c>
      <c r="D45" s="392">
        <f>SUM(D43:D44)</f>
        <v>20.28924593255376</v>
      </c>
      <c r="E45" s="392">
        <f>SUM(E43:E44)</f>
        <v>18.780597847928643</v>
      </c>
    </row>
    <row r="46" spans="4:5" ht="12.75">
      <c r="D46" s="539" t="s">
        <v>37</v>
      </c>
      <c r="E46" s="539" t="s">
        <v>37</v>
      </c>
    </row>
    <row r="48" spans="1:5" ht="12.75">
      <c r="A48" s="393" t="s">
        <v>38</v>
      </c>
      <c r="B48" s="394" t="s">
        <v>39</v>
      </c>
      <c r="C48" s="394" t="s">
        <v>40</v>
      </c>
      <c r="D48" s="394" t="s">
        <v>36</v>
      </c>
      <c r="E48" s="394" t="s">
        <v>41</v>
      </c>
    </row>
    <row r="49" spans="1:5" ht="12.75">
      <c r="A49" s="395" t="s">
        <v>42</v>
      </c>
      <c r="B49" s="540" t="s">
        <v>43</v>
      </c>
      <c r="C49" s="540"/>
      <c r="D49" s="396">
        <f>B39</f>
        <v>40</v>
      </c>
      <c r="E49" s="397">
        <f>D49</f>
        <v>40</v>
      </c>
    </row>
    <row r="50" spans="1:5" ht="12.75">
      <c r="A50" s="395" t="s">
        <v>44</v>
      </c>
      <c r="B50" s="540">
        <f>E30</f>
        <v>131.63643067846607</v>
      </c>
      <c r="C50" s="540">
        <f>D45</f>
        <v>20.28924593255376</v>
      </c>
      <c r="D50" s="396">
        <f>B50+C50</f>
        <v>151.92567661101984</v>
      </c>
      <c r="E50" s="479">
        <v>150</v>
      </c>
    </row>
    <row r="51" spans="1:5" ht="12.75">
      <c r="A51" s="395" t="s">
        <v>45</v>
      </c>
      <c r="B51" s="540">
        <f>E31</f>
        <v>121.17261246312684</v>
      </c>
      <c r="C51" s="540">
        <f>E45</f>
        <v>18.780597847928643</v>
      </c>
      <c r="D51" s="396">
        <f>B51+C51</f>
        <v>139.95321031105547</v>
      </c>
      <c r="E51" s="479">
        <v>140</v>
      </c>
    </row>
    <row r="52" spans="1:5" ht="12.75">
      <c r="A52" s="398" t="s">
        <v>281</v>
      </c>
      <c r="B52" s="539"/>
      <c r="C52" s="539"/>
      <c r="D52" s="539">
        <f>5*D49+6.5*D50+7*D51</f>
        <v>2167.189370149017</v>
      </c>
      <c r="E52" s="539">
        <f>5*E49+6.5*E50+7*E51</f>
        <v>2155</v>
      </c>
    </row>
    <row r="53" spans="1:5" ht="12.75">
      <c r="A53" s="398" t="s">
        <v>282</v>
      </c>
      <c r="B53" s="539"/>
      <c r="C53" s="539"/>
      <c r="D53" s="539">
        <f>D52*12</f>
        <v>26006.272441788205</v>
      </c>
      <c r="E53" s="539">
        <f>E52*12</f>
        <v>25860</v>
      </c>
    </row>
  </sheetData>
  <printOptions/>
  <pageMargins left="0.75" right="0.75" top="1" bottom="1" header="0.5" footer="0.5"/>
  <pageSetup orientation="portrait" paperSize="9"/>
  <ignoredErrors>
    <ignoredError sqref="C4:C7 C10:C12" unlocked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 codeName="Sayfa6">
    <tabColor indexed="13"/>
    <pageSetUpPr fitToPage="1"/>
  </sheetPr>
  <dimension ref="A1:J48"/>
  <sheetViews>
    <sheetView workbookViewId="0" topLeftCell="A1">
      <selection activeCell="B1" sqref="B1"/>
    </sheetView>
  </sheetViews>
  <sheetFormatPr defaultColWidth="9.140625" defaultRowHeight="12.75"/>
  <cols>
    <col min="1" max="1" width="10.140625" style="3" bestFit="1" customWidth="1"/>
    <col min="2" max="2" width="20.421875" style="0" bestFit="1" customWidth="1"/>
    <col min="3" max="3" width="13.8515625" style="0" bestFit="1" customWidth="1"/>
    <col min="4" max="4" width="11.140625" style="0" bestFit="1" customWidth="1"/>
    <col min="5" max="5" width="12.7109375" style="0" bestFit="1" customWidth="1"/>
    <col min="6" max="6" width="15.421875" style="0" bestFit="1" customWidth="1"/>
    <col min="7" max="7" width="12.7109375" style="0" bestFit="1" customWidth="1"/>
    <col min="8" max="8" width="11.140625" style="0" bestFit="1" customWidth="1"/>
    <col min="9" max="9" width="12.7109375" style="0" bestFit="1" customWidth="1"/>
    <col min="10" max="10" width="11.140625" style="0" bestFit="1" customWidth="1"/>
  </cols>
  <sheetData>
    <row r="1" spans="1:6" ht="15">
      <c r="A1" s="13" t="s">
        <v>60</v>
      </c>
      <c r="B1" s="121">
        <v>39599</v>
      </c>
      <c r="D1" s="113" t="s">
        <v>123</v>
      </c>
      <c r="E1" s="561" t="s">
        <v>312</v>
      </c>
      <c r="F1" s="561"/>
    </row>
    <row r="2" spans="1:6" ht="15">
      <c r="A2" s="13"/>
      <c r="B2" s="121"/>
      <c r="E2" s="565"/>
      <c r="F2" s="565"/>
    </row>
    <row r="3" spans="1:2" ht="12.75">
      <c r="A3" s="13"/>
      <c r="B3" s="10"/>
    </row>
    <row r="4" spans="1:7" ht="12.75">
      <c r="A4" s="13"/>
      <c r="B4" s="17" t="s">
        <v>61</v>
      </c>
      <c r="C4">
        <f>16/240</f>
        <v>0.06666666666666667</v>
      </c>
      <c r="E4">
        <f>14/240</f>
        <v>0.058333333333333334</v>
      </c>
      <c r="G4">
        <f>6/240</f>
        <v>0.025</v>
      </c>
    </row>
    <row r="5" spans="1:9" s="16" customFormat="1" ht="12.75">
      <c r="A5" s="14"/>
      <c r="B5" s="15"/>
      <c r="C5" s="16" t="s">
        <v>57</v>
      </c>
      <c r="E5" s="16" t="s">
        <v>58</v>
      </c>
      <c r="G5" s="16" t="s">
        <v>59</v>
      </c>
      <c r="I5" s="16" t="s">
        <v>88</v>
      </c>
    </row>
    <row r="6" spans="1:10" s="1" customFormat="1" ht="12.75">
      <c r="A6" s="6"/>
      <c r="C6" s="2" t="s">
        <v>54</v>
      </c>
      <c r="D6" s="2" t="s">
        <v>55</v>
      </c>
      <c r="E6" s="2" t="s">
        <v>54</v>
      </c>
      <c r="F6" s="2" t="s">
        <v>55</v>
      </c>
      <c r="G6" s="2" t="s">
        <v>54</v>
      </c>
      <c r="H6" s="2" t="s">
        <v>55</v>
      </c>
      <c r="I6" s="2" t="s">
        <v>54</v>
      </c>
      <c r="J6" s="2" t="s">
        <v>55</v>
      </c>
    </row>
    <row r="7" spans="2:10" ht="12.75">
      <c r="B7" t="s">
        <v>317</v>
      </c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</row>
    <row r="8" spans="1:9" ht="12.75">
      <c r="A8" s="3">
        <v>39239</v>
      </c>
      <c r="B8" t="s">
        <v>6</v>
      </c>
      <c r="C8" s="5" t="s">
        <v>3</v>
      </c>
      <c r="E8" s="5" t="s">
        <v>3</v>
      </c>
      <c r="G8" s="5" t="s">
        <v>3</v>
      </c>
      <c r="I8" s="5" t="s">
        <v>3</v>
      </c>
    </row>
    <row r="9" spans="1:10" ht="12.75">
      <c r="A9" s="3">
        <v>39264</v>
      </c>
      <c r="B9" t="s">
        <v>301</v>
      </c>
      <c r="C9" s="217">
        <v>150</v>
      </c>
      <c r="D9" s="217">
        <v>0</v>
      </c>
      <c r="E9" s="217">
        <v>140</v>
      </c>
      <c r="F9" s="217">
        <v>0</v>
      </c>
      <c r="G9" s="217">
        <v>40</v>
      </c>
      <c r="H9" s="217">
        <v>0</v>
      </c>
      <c r="I9" s="217">
        <v>75</v>
      </c>
      <c r="J9" s="217">
        <v>0</v>
      </c>
    </row>
    <row r="10" spans="1:10" ht="12.75">
      <c r="A10" s="3">
        <v>39295</v>
      </c>
      <c r="B10" t="s">
        <v>302</v>
      </c>
      <c r="C10" s="217">
        <v>150</v>
      </c>
      <c r="D10" s="217">
        <v>0</v>
      </c>
      <c r="E10" s="217">
        <v>140</v>
      </c>
      <c r="F10" s="217">
        <v>0</v>
      </c>
      <c r="G10" s="217">
        <v>40</v>
      </c>
      <c r="H10" s="217">
        <v>0</v>
      </c>
      <c r="I10" s="217">
        <v>75</v>
      </c>
      <c r="J10" s="217">
        <v>0</v>
      </c>
    </row>
    <row r="11" spans="1:10" ht="12.75">
      <c r="A11" s="3">
        <v>39326</v>
      </c>
      <c r="B11" t="s">
        <v>303</v>
      </c>
      <c r="C11" s="217">
        <v>150</v>
      </c>
      <c r="D11" s="217">
        <v>0</v>
      </c>
      <c r="E11" s="217">
        <v>140</v>
      </c>
      <c r="F11" s="217">
        <v>0</v>
      </c>
      <c r="G11" s="217">
        <v>40</v>
      </c>
      <c r="H11" s="217">
        <v>0</v>
      </c>
      <c r="I11" s="217">
        <v>75</v>
      </c>
      <c r="J11" s="217">
        <v>0</v>
      </c>
    </row>
    <row r="12" spans="1:10" ht="12.75">
      <c r="A12" s="3">
        <v>39356</v>
      </c>
      <c r="B12" t="s">
        <v>304</v>
      </c>
      <c r="C12" s="217">
        <v>150</v>
      </c>
      <c r="D12" s="217">
        <v>0</v>
      </c>
      <c r="E12" s="217">
        <v>140</v>
      </c>
      <c r="F12" s="217">
        <v>0</v>
      </c>
      <c r="G12" s="217">
        <v>40</v>
      </c>
      <c r="H12" s="217">
        <v>0</v>
      </c>
      <c r="I12" s="217">
        <v>75</v>
      </c>
      <c r="J12" s="217">
        <v>0</v>
      </c>
    </row>
    <row r="13" spans="1:10" ht="12.75">
      <c r="A13" s="3">
        <v>39387</v>
      </c>
      <c r="B13" t="s">
        <v>305</v>
      </c>
      <c r="C13" s="217">
        <v>150</v>
      </c>
      <c r="D13" s="217">
        <v>0</v>
      </c>
      <c r="E13" s="217">
        <v>140</v>
      </c>
      <c r="F13" s="217">
        <v>0</v>
      </c>
      <c r="G13" s="217">
        <v>40</v>
      </c>
      <c r="H13" s="217">
        <v>0</v>
      </c>
      <c r="I13" s="217">
        <v>75</v>
      </c>
      <c r="J13" s="217">
        <v>0</v>
      </c>
    </row>
    <row r="14" spans="1:10" ht="12.75">
      <c r="A14" s="3">
        <v>39417</v>
      </c>
      <c r="B14" t="s">
        <v>306</v>
      </c>
      <c r="C14" s="217">
        <v>150</v>
      </c>
      <c r="D14" s="217">
        <v>0</v>
      </c>
      <c r="E14" s="217">
        <v>140</v>
      </c>
      <c r="F14" s="217">
        <v>0</v>
      </c>
      <c r="G14" s="217">
        <v>40</v>
      </c>
      <c r="H14" s="217">
        <v>0</v>
      </c>
      <c r="I14" s="217">
        <v>75</v>
      </c>
      <c r="J14" s="217">
        <v>0</v>
      </c>
    </row>
    <row r="15" spans="1:10" ht="12.75">
      <c r="A15" s="3">
        <v>39448</v>
      </c>
      <c r="B15" t="s">
        <v>307</v>
      </c>
      <c r="C15" s="217">
        <v>150</v>
      </c>
      <c r="D15" s="217">
        <v>0</v>
      </c>
      <c r="E15" s="217">
        <v>140</v>
      </c>
      <c r="F15" s="217">
        <v>0</v>
      </c>
      <c r="G15" s="217">
        <v>40</v>
      </c>
      <c r="H15" s="217">
        <v>0</v>
      </c>
      <c r="I15" s="217">
        <v>75</v>
      </c>
      <c r="J15" s="217">
        <v>0</v>
      </c>
    </row>
    <row r="16" spans="1:10" ht="12.75">
      <c r="A16" s="3">
        <v>39479</v>
      </c>
      <c r="B16" t="s">
        <v>308</v>
      </c>
      <c r="C16" s="217">
        <v>150</v>
      </c>
      <c r="D16" s="217">
        <v>0</v>
      </c>
      <c r="E16" s="217">
        <v>140</v>
      </c>
      <c r="F16" s="217">
        <v>0</v>
      </c>
      <c r="G16" s="217">
        <v>40</v>
      </c>
      <c r="H16" s="217">
        <v>0</v>
      </c>
      <c r="I16" s="217">
        <v>75</v>
      </c>
      <c r="J16" s="217">
        <v>0</v>
      </c>
    </row>
    <row r="17" spans="1:10" ht="12.75">
      <c r="A17" s="3">
        <v>39508</v>
      </c>
      <c r="B17" t="s">
        <v>309</v>
      </c>
      <c r="C17" s="217">
        <v>150</v>
      </c>
      <c r="D17" s="217">
        <v>0</v>
      </c>
      <c r="E17" s="217">
        <v>140</v>
      </c>
      <c r="F17" s="217">
        <v>0</v>
      </c>
      <c r="G17" s="217">
        <v>40</v>
      </c>
      <c r="H17" s="217">
        <v>0</v>
      </c>
      <c r="I17" s="217">
        <v>75</v>
      </c>
      <c r="J17" s="217">
        <v>0</v>
      </c>
    </row>
    <row r="18" spans="1:10" ht="12.75">
      <c r="A18" s="3">
        <v>39539</v>
      </c>
      <c r="B18" t="s">
        <v>310</v>
      </c>
      <c r="C18" s="217">
        <v>150</v>
      </c>
      <c r="D18" s="217">
        <v>0</v>
      </c>
      <c r="E18" s="217">
        <v>140</v>
      </c>
      <c r="F18" s="217">
        <v>0</v>
      </c>
      <c r="G18" s="217">
        <v>40</v>
      </c>
      <c r="H18" s="217">
        <v>0</v>
      </c>
      <c r="I18" s="217">
        <v>75</v>
      </c>
      <c r="J18" s="217">
        <v>0</v>
      </c>
    </row>
    <row r="19" spans="1:10" ht="12.75">
      <c r="A19" s="3">
        <v>39569</v>
      </c>
      <c r="B19" t="s">
        <v>311</v>
      </c>
      <c r="C19" s="217">
        <v>150</v>
      </c>
      <c r="D19" s="217">
        <v>0</v>
      </c>
      <c r="E19" s="217">
        <v>140</v>
      </c>
      <c r="F19" s="217">
        <v>0</v>
      </c>
      <c r="G19" s="217">
        <v>40</v>
      </c>
      <c r="H19" s="217">
        <v>0</v>
      </c>
      <c r="I19" s="217">
        <v>75</v>
      </c>
      <c r="J19" s="217">
        <v>0</v>
      </c>
    </row>
    <row r="20" spans="1:10" ht="12.75">
      <c r="A20" s="3">
        <v>39600</v>
      </c>
      <c r="B20" t="s">
        <v>313</v>
      </c>
      <c r="C20" s="217">
        <v>150</v>
      </c>
      <c r="D20" s="217">
        <v>0</v>
      </c>
      <c r="E20" s="217">
        <v>140</v>
      </c>
      <c r="F20" s="217">
        <v>0</v>
      </c>
      <c r="G20" s="217">
        <v>40</v>
      </c>
      <c r="H20" s="217">
        <v>0</v>
      </c>
      <c r="I20" s="217">
        <v>75</v>
      </c>
      <c r="J20" s="217">
        <v>0</v>
      </c>
    </row>
    <row r="21" spans="1:10" ht="12.75">
      <c r="A21" s="3">
        <v>39630</v>
      </c>
      <c r="B21" t="s">
        <v>381</v>
      </c>
      <c r="C21" s="217">
        <v>150</v>
      </c>
      <c r="D21" s="217">
        <v>0</v>
      </c>
      <c r="E21" s="217">
        <v>140</v>
      </c>
      <c r="F21" s="217">
        <v>0</v>
      </c>
      <c r="G21" s="217">
        <v>40</v>
      </c>
      <c r="H21" s="217">
        <v>0</v>
      </c>
      <c r="I21" s="217">
        <v>75</v>
      </c>
      <c r="J21" s="217">
        <v>0</v>
      </c>
    </row>
    <row r="23" spans="1:8" ht="12.75">
      <c r="A23" s="58" t="s">
        <v>72</v>
      </c>
      <c r="B23" t="s">
        <v>77</v>
      </c>
      <c r="C23" s="1" t="s">
        <v>78</v>
      </c>
      <c r="G23" s="564"/>
      <c r="H23" s="564"/>
    </row>
    <row r="24" spans="1:9" s="11" customFormat="1" ht="12.75">
      <c r="A24" s="148">
        <v>1</v>
      </c>
      <c r="B24" s="11" t="s">
        <v>80</v>
      </c>
      <c r="C24" s="149">
        <v>14</v>
      </c>
      <c r="D24"/>
      <c r="E24"/>
      <c r="F24"/>
      <c r="G24" s="563"/>
      <c r="H24" s="563"/>
      <c r="I24" s="150"/>
    </row>
    <row r="25" spans="1:9" ht="12.75">
      <c r="A25" s="58">
        <v>2</v>
      </c>
      <c r="B25" t="s">
        <v>290</v>
      </c>
      <c r="C25" s="1">
        <v>16</v>
      </c>
      <c r="G25" s="562"/>
      <c r="H25" s="562"/>
      <c r="I25" s="112"/>
    </row>
    <row r="26" spans="1:9" ht="12.75">
      <c r="A26" s="58">
        <v>3</v>
      </c>
      <c r="B26" t="s">
        <v>81</v>
      </c>
      <c r="C26" s="1">
        <v>14</v>
      </c>
      <c r="G26" s="562"/>
      <c r="H26" s="562"/>
      <c r="I26" s="112"/>
    </row>
    <row r="27" spans="1:9" ht="12.75">
      <c r="A27" s="58">
        <v>4</v>
      </c>
      <c r="B27" t="s">
        <v>289</v>
      </c>
      <c r="C27" s="1">
        <v>16</v>
      </c>
      <c r="G27" s="562"/>
      <c r="H27" s="562"/>
      <c r="I27" s="112"/>
    </row>
    <row r="28" spans="1:8" s="11" customFormat="1" ht="12.75">
      <c r="A28" s="148">
        <v>5</v>
      </c>
      <c r="B28" s="11" t="s">
        <v>82</v>
      </c>
      <c r="C28" s="149">
        <v>14</v>
      </c>
      <c r="D28"/>
      <c r="E28"/>
      <c r="F28"/>
      <c r="G28" s="563"/>
      <c r="H28" s="563"/>
    </row>
    <row r="29" spans="1:6" s="11" customFormat="1" ht="12.75">
      <c r="A29" s="148">
        <v>6</v>
      </c>
      <c r="B29" s="11" t="s">
        <v>298</v>
      </c>
      <c r="C29" s="149">
        <v>16</v>
      </c>
      <c r="D29"/>
      <c r="E29"/>
      <c r="F29"/>
    </row>
    <row r="30" spans="1:6" s="11" customFormat="1" ht="12.75">
      <c r="A30" s="148">
        <v>7</v>
      </c>
      <c r="B30" s="177" t="s">
        <v>249</v>
      </c>
      <c r="C30" s="149">
        <v>14</v>
      </c>
      <c r="D30"/>
      <c r="E30"/>
      <c r="F30"/>
    </row>
    <row r="31" spans="1:3" ht="12.75">
      <c r="A31" s="58">
        <v>8</v>
      </c>
      <c r="B31" t="s">
        <v>83</v>
      </c>
      <c r="C31" s="1">
        <v>16</v>
      </c>
    </row>
    <row r="32" spans="1:3" ht="12.75">
      <c r="A32" s="58">
        <v>9</v>
      </c>
      <c r="B32" t="s">
        <v>269</v>
      </c>
      <c r="C32" s="1">
        <v>14</v>
      </c>
    </row>
    <row r="33" spans="1:3" ht="12.75">
      <c r="A33" s="58">
        <v>10</v>
      </c>
      <c r="B33" t="s">
        <v>84</v>
      </c>
      <c r="C33" s="1">
        <v>16</v>
      </c>
    </row>
    <row r="34" spans="1:6" s="11" customFormat="1" ht="12.75">
      <c r="A34" s="148">
        <v>11</v>
      </c>
      <c r="B34" s="11" t="s">
        <v>102</v>
      </c>
      <c r="C34" s="149">
        <v>14</v>
      </c>
      <c r="D34"/>
      <c r="E34"/>
      <c r="F34"/>
    </row>
    <row r="35" spans="1:6" s="11" customFormat="1" ht="12.75">
      <c r="A35" s="148">
        <v>12</v>
      </c>
      <c r="B35" s="11" t="s">
        <v>85</v>
      </c>
      <c r="C35" s="149">
        <v>16</v>
      </c>
      <c r="D35"/>
      <c r="E35"/>
      <c r="F35"/>
    </row>
    <row r="36" spans="1:3" ht="12.75">
      <c r="A36" s="58">
        <v>13</v>
      </c>
      <c r="B36" t="s">
        <v>86</v>
      </c>
      <c r="C36" s="1">
        <v>14</v>
      </c>
    </row>
    <row r="37" spans="1:6" s="11" customFormat="1" ht="12.75">
      <c r="A37" s="148">
        <v>14</v>
      </c>
      <c r="B37" s="11" t="s">
        <v>87</v>
      </c>
      <c r="C37" s="149">
        <v>16</v>
      </c>
      <c r="D37"/>
      <c r="E37"/>
      <c r="F37"/>
    </row>
    <row r="38" spans="1:3" ht="12.75">
      <c r="A38" s="58">
        <v>16</v>
      </c>
      <c r="B38" t="s">
        <v>92</v>
      </c>
      <c r="C38" s="1">
        <v>6</v>
      </c>
    </row>
    <row r="39" spans="1:6" s="11" customFormat="1" ht="12.75">
      <c r="A39" s="148" t="s">
        <v>73</v>
      </c>
      <c r="B39" s="11" t="s">
        <v>608</v>
      </c>
      <c r="C39" s="149">
        <v>6</v>
      </c>
      <c r="D39"/>
      <c r="E39"/>
      <c r="F39"/>
    </row>
    <row r="40" spans="1:6" s="11" customFormat="1" ht="12.75">
      <c r="A40" s="148" t="s">
        <v>74</v>
      </c>
      <c r="B40" s="11" t="s">
        <v>89</v>
      </c>
      <c r="C40" s="149">
        <v>6</v>
      </c>
      <c r="D40"/>
      <c r="E40"/>
      <c r="F40"/>
    </row>
    <row r="41" spans="1:6" s="11" customFormat="1" ht="12.75">
      <c r="A41" s="148" t="s">
        <v>75</v>
      </c>
      <c r="B41" s="11" t="s">
        <v>182</v>
      </c>
      <c r="C41" s="149">
        <v>6</v>
      </c>
      <c r="D41"/>
      <c r="E41"/>
      <c r="F41"/>
    </row>
    <row r="42" spans="1:3" ht="12.75">
      <c r="A42" s="58" t="s">
        <v>76</v>
      </c>
      <c r="B42" t="s">
        <v>90</v>
      </c>
      <c r="C42" s="1">
        <v>6</v>
      </c>
    </row>
    <row r="43" spans="1:3" ht="12.75">
      <c r="A43" s="58"/>
      <c r="C43" s="1"/>
    </row>
    <row r="44" spans="1:3" ht="12.75">
      <c r="A44" s="58" t="s">
        <v>79</v>
      </c>
      <c r="C44" s="1">
        <f>SUM(C24:C43)</f>
        <v>240</v>
      </c>
    </row>
    <row r="45" ht="12.75">
      <c r="A45" s="58"/>
    </row>
    <row r="47" ht="12.75">
      <c r="A47" s="58"/>
    </row>
    <row r="48" ht="12.75">
      <c r="A48" s="58"/>
    </row>
  </sheetData>
  <sheetProtection/>
  <mergeCells count="8">
    <mergeCell ref="E1:F1"/>
    <mergeCell ref="G27:H27"/>
    <mergeCell ref="G28:H28"/>
    <mergeCell ref="G23:H23"/>
    <mergeCell ref="G24:H24"/>
    <mergeCell ref="G25:H25"/>
    <mergeCell ref="G26:H26"/>
    <mergeCell ref="E2:F2"/>
  </mergeCells>
  <printOptions gridLines="1"/>
  <pageMargins left="0.75" right="0.75" top="1" bottom="1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2">
    <tabColor indexed="17"/>
    <pageSetUpPr fitToPage="1"/>
  </sheetPr>
  <dimension ref="A1:J85"/>
  <sheetViews>
    <sheetView workbookViewId="0" topLeftCell="A49">
      <selection activeCell="G76" sqref="G76"/>
    </sheetView>
  </sheetViews>
  <sheetFormatPr defaultColWidth="9.140625" defaultRowHeight="12.75"/>
  <cols>
    <col min="1" max="1" width="10.140625" style="3" bestFit="1" customWidth="1"/>
    <col min="2" max="2" width="17.140625" style="4" customWidth="1"/>
    <col min="3" max="3" width="4.28125" style="0" customWidth="1"/>
    <col min="4" max="4" width="10.57421875" style="3" customWidth="1"/>
    <col min="5" max="5" width="16.8515625" style="4" customWidth="1"/>
    <col min="6" max="6" width="4.28125" style="4" customWidth="1"/>
    <col min="7" max="7" width="20.57421875" style="4" customWidth="1"/>
    <col min="8" max="8" width="5.140625" style="0" customWidth="1"/>
    <col min="9" max="9" width="20.421875" style="0" customWidth="1"/>
    <col min="10" max="10" width="3.8515625" style="0" customWidth="1"/>
  </cols>
  <sheetData>
    <row r="1" spans="1:10" s="166" customFormat="1" ht="15">
      <c r="A1" s="168" t="s">
        <v>163</v>
      </c>
      <c r="B1" s="165"/>
      <c r="C1" s="157"/>
      <c r="D1" s="164"/>
      <c r="E1" s="172">
        <f>Ekstre!F2</f>
        <v>39599</v>
      </c>
      <c r="F1" s="173" t="str">
        <f>Ekstre!G2</f>
        <v>TARİHİ İTİBARI İLE...</v>
      </c>
      <c r="G1" s="165"/>
      <c r="H1" s="167" t="s">
        <v>162</v>
      </c>
      <c r="I1" s="158"/>
      <c r="J1" s="158"/>
    </row>
    <row r="2" spans="1:10" ht="24">
      <c r="A2" s="152" t="s">
        <v>217</v>
      </c>
      <c r="B2" s="153"/>
      <c r="C2" s="153"/>
      <c r="D2" s="153"/>
      <c r="E2" s="153"/>
      <c r="F2" s="154"/>
      <c r="G2" s="155"/>
      <c r="H2" s="136"/>
      <c r="I2" s="129" t="s">
        <v>109</v>
      </c>
      <c r="J2" s="136"/>
    </row>
    <row r="3" spans="1:10" ht="12.75">
      <c r="A3" s="132" t="s">
        <v>112</v>
      </c>
      <c r="B3" s="317" t="s">
        <v>103</v>
      </c>
      <c r="C3" s="136"/>
      <c r="D3" s="132" t="s">
        <v>112</v>
      </c>
      <c r="E3" s="318" t="s">
        <v>104</v>
      </c>
      <c r="F3" s="138"/>
      <c r="G3" s="134" t="s">
        <v>105</v>
      </c>
      <c r="H3" s="136"/>
      <c r="I3" s="129" t="s">
        <v>108</v>
      </c>
      <c r="J3" s="136"/>
    </row>
    <row r="4" spans="1:10" s="111" customFormat="1" ht="12.75">
      <c r="A4" s="132" t="s">
        <v>113</v>
      </c>
      <c r="B4" s="131" t="s">
        <v>114</v>
      </c>
      <c r="C4" s="137"/>
      <c r="D4" s="132" t="s">
        <v>113</v>
      </c>
      <c r="E4" s="131" t="s">
        <v>114</v>
      </c>
      <c r="F4" s="139"/>
      <c r="G4" s="135" t="s">
        <v>115</v>
      </c>
      <c r="H4" s="137"/>
      <c r="I4" s="130" t="s">
        <v>144</v>
      </c>
      <c r="J4" s="137"/>
    </row>
    <row r="5" spans="1:10" s="111" customFormat="1" ht="12.75">
      <c r="A5" s="132"/>
      <c r="B5" s="131" t="s">
        <v>183</v>
      </c>
      <c r="C5" s="137"/>
      <c r="D5" s="132"/>
      <c r="E5" s="131" t="s">
        <v>183</v>
      </c>
      <c r="F5" s="139"/>
      <c r="G5" s="134" t="s">
        <v>183</v>
      </c>
      <c r="H5" s="137"/>
      <c r="I5" s="130" t="s">
        <v>183</v>
      </c>
      <c r="J5" s="137"/>
    </row>
    <row r="6" spans="1:10" ht="12.75">
      <c r="A6" s="156" t="s">
        <v>160</v>
      </c>
      <c r="B6" s="409">
        <v>0</v>
      </c>
      <c r="C6" s="218"/>
      <c r="D6" s="452"/>
      <c r="E6" s="409"/>
      <c r="F6" s="218"/>
      <c r="G6" s="219"/>
      <c r="H6" s="218"/>
      <c r="I6" s="219"/>
      <c r="J6" s="136"/>
    </row>
    <row r="7" spans="1:10" ht="12.75">
      <c r="A7" s="452">
        <v>39270</v>
      </c>
      <c r="B7" s="409">
        <v>1556.14</v>
      </c>
      <c r="C7" s="218"/>
      <c r="D7" s="452"/>
      <c r="E7" s="409"/>
      <c r="F7" s="218"/>
      <c r="G7" s="219"/>
      <c r="H7" s="218"/>
      <c r="I7" s="219"/>
      <c r="J7" s="136"/>
    </row>
    <row r="8" spans="1:10" ht="12.75">
      <c r="A8" s="452">
        <v>39252</v>
      </c>
      <c r="B8" s="409">
        <v>347.24</v>
      </c>
      <c r="C8" s="218"/>
      <c r="D8" s="452"/>
      <c r="E8" s="409"/>
      <c r="F8" s="218"/>
      <c r="G8" s="219"/>
      <c r="H8" s="218"/>
      <c r="I8" s="219"/>
      <c r="J8" s="136"/>
    </row>
    <row r="9" spans="1:10" ht="12.75">
      <c r="A9" s="452"/>
      <c r="B9" s="409"/>
      <c r="C9" s="218"/>
      <c r="D9" s="452">
        <v>39260</v>
      </c>
      <c r="E9" s="409">
        <v>347.96</v>
      </c>
      <c r="F9" s="218"/>
      <c r="G9" s="219"/>
      <c r="H9" s="218"/>
      <c r="I9" s="219"/>
      <c r="J9" s="136"/>
    </row>
    <row r="10" spans="1:10" ht="12.75">
      <c r="A10" s="452"/>
      <c r="B10" s="409"/>
      <c r="C10" s="218"/>
      <c r="D10" s="452">
        <v>39261</v>
      </c>
      <c r="E10" s="409">
        <v>348.07</v>
      </c>
      <c r="F10" s="218"/>
      <c r="G10" s="219"/>
      <c r="H10" s="218"/>
      <c r="I10" s="219"/>
      <c r="J10" s="136"/>
    </row>
    <row r="11" spans="1:10" ht="12.75">
      <c r="A11" s="452">
        <v>39272</v>
      </c>
      <c r="B11" s="409">
        <v>262.25</v>
      </c>
      <c r="C11" s="218"/>
      <c r="D11" s="452"/>
      <c r="E11" s="409"/>
      <c r="F11" s="218"/>
      <c r="G11" s="219"/>
      <c r="H11" s="218"/>
      <c r="I11" s="219"/>
      <c r="J11" s="136"/>
    </row>
    <row r="12" spans="1:10" ht="12.75">
      <c r="A12" s="452">
        <v>39272</v>
      </c>
      <c r="B12" s="409">
        <v>262.25</v>
      </c>
      <c r="C12" s="218"/>
      <c r="D12" s="452"/>
      <c r="E12" s="409"/>
      <c r="F12" s="218"/>
      <c r="G12" s="219"/>
      <c r="H12" s="218"/>
      <c r="I12" s="219"/>
      <c r="J12" s="136"/>
    </row>
    <row r="13" spans="1:10" ht="12.75">
      <c r="A13" s="452"/>
      <c r="B13" s="409"/>
      <c r="C13" s="218"/>
      <c r="D13" s="452">
        <v>39280</v>
      </c>
      <c r="E13" s="409">
        <v>262.61</v>
      </c>
      <c r="F13" s="218"/>
      <c r="G13" s="219"/>
      <c r="H13" s="218"/>
      <c r="I13" s="219"/>
      <c r="J13" s="136"/>
    </row>
    <row r="14" spans="1:10" ht="12.75">
      <c r="A14" s="452">
        <v>39281</v>
      </c>
      <c r="B14" s="409">
        <v>263.09</v>
      </c>
      <c r="C14" s="218"/>
      <c r="D14" s="452"/>
      <c r="E14" s="409"/>
      <c r="F14" s="218"/>
      <c r="G14" s="219"/>
      <c r="H14" s="218"/>
      <c r="I14" s="219"/>
      <c r="J14" s="136"/>
    </row>
    <row r="15" spans="1:10" ht="12.75">
      <c r="A15" s="452">
        <v>39287</v>
      </c>
      <c r="B15" s="409">
        <v>263.59</v>
      </c>
      <c r="C15" s="218"/>
      <c r="D15" s="452"/>
      <c r="E15" s="409"/>
      <c r="F15" s="218"/>
      <c r="G15" s="219"/>
      <c r="H15" s="218"/>
      <c r="I15" s="219"/>
      <c r="J15" s="136"/>
    </row>
    <row r="16" spans="1:10" ht="12.75">
      <c r="A16" s="452"/>
      <c r="B16" s="409"/>
      <c r="C16" s="218"/>
      <c r="D16" s="452">
        <v>39294</v>
      </c>
      <c r="E16" s="409">
        <v>439.45</v>
      </c>
      <c r="F16" s="218"/>
      <c r="G16" s="219"/>
      <c r="H16" s="218"/>
      <c r="I16" s="219"/>
      <c r="J16" s="136"/>
    </row>
    <row r="17" spans="1:10" ht="12.75">
      <c r="A17" s="452">
        <v>39301</v>
      </c>
      <c r="B17" s="409">
        <v>706.04</v>
      </c>
      <c r="C17" s="218"/>
      <c r="D17" s="452"/>
      <c r="E17" s="409"/>
      <c r="F17" s="218"/>
      <c r="G17" s="219"/>
      <c r="H17" s="218"/>
      <c r="I17" s="219"/>
      <c r="J17" s="136"/>
    </row>
    <row r="18" spans="1:10" ht="12.75">
      <c r="A18" s="452">
        <v>39314</v>
      </c>
      <c r="B18" s="409">
        <v>1151.88</v>
      </c>
      <c r="C18" s="218"/>
      <c r="D18" s="452"/>
      <c r="E18" s="409"/>
      <c r="F18" s="218"/>
      <c r="G18" s="219"/>
      <c r="H18" s="218"/>
      <c r="I18" s="219"/>
      <c r="J18" s="136"/>
    </row>
    <row r="19" spans="1:10" ht="12.75">
      <c r="A19" s="452">
        <v>29.08</v>
      </c>
      <c r="B19" s="409">
        <v>266.75</v>
      </c>
      <c r="C19" s="218"/>
      <c r="D19" s="452"/>
      <c r="E19" s="409"/>
      <c r="F19" s="218"/>
      <c r="G19" s="219"/>
      <c r="H19" s="218"/>
      <c r="I19" s="219"/>
      <c r="J19" s="136"/>
    </row>
    <row r="20" spans="1:10" ht="12.75">
      <c r="A20" s="452"/>
      <c r="B20" s="409"/>
      <c r="C20" s="218"/>
      <c r="D20" s="452">
        <v>39326</v>
      </c>
      <c r="E20" s="409">
        <v>354.96</v>
      </c>
      <c r="F20" s="218"/>
      <c r="G20" s="219"/>
      <c r="H20" s="218"/>
      <c r="I20" s="219"/>
      <c r="J20" s="136"/>
    </row>
    <row r="21" spans="1:10" ht="12.75">
      <c r="A21" s="452">
        <v>39328</v>
      </c>
      <c r="B21" s="409">
        <v>267.22</v>
      </c>
      <c r="C21" s="218"/>
      <c r="D21" s="452"/>
      <c r="E21" s="409"/>
      <c r="F21" s="218"/>
      <c r="G21" s="219"/>
      <c r="H21" s="218"/>
      <c r="I21" s="219"/>
      <c r="J21" s="136"/>
    </row>
    <row r="22" spans="1:10" ht="12.75">
      <c r="A22" s="452">
        <v>39329</v>
      </c>
      <c r="B22" s="409">
        <v>178.22</v>
      </c>
      <c r="C22" s="218"/>
      <c r="D22" s="452"/>
      <c r="E22" s="409"/>
      <c r="F22" s="218"/>
      <c r="G22" s="219"/>
      <c r="H22" s="218"/>
      <c r="I22" s="219"/>
      <c r="J22" s="136"/>
    </row>
    <row r="23" spans="1:10" ht="12.75">
      <c r="A23" s="452">
        <v>39331</v>
      </c>
      <c r="B23" s="409">
        <v>267.51</v>
      </c>
      <c r="C23" s="218"/>
      <c r="D23" s="452"/>
      <c r="E23" s="409"/>
      <c r="F23" s="218"/>
      <c r="G23" s="219"/>
      <c r="H23" s="218"/>
      <c r="I23" s="219"/>
      <c r="J23" s="136"/>
    </row>
    <row r="24" spans="1:10" ht="12.75">
      <c r="A24" s="452"/>
      <c r="B24" s="409"/>
      <c r="C24" s="218"/>
      <c r="D24" s="452">
        <v>39335</v>
      </c>
      <c r="E24" s="409">
        <v>534.49</v>
      </c>
      <c r="F24" s="218"/>
      <c r="G24" s="219"/>
      <c r="H24" s="218"/>
      <c r="I24" s="219"/>
      <c r="J24" s="136"/>
    </row>
    <row r="25" spans="1:10" ht="12.75">
      <c r="A25" s="452">
        <v>39349</v>
      </c>
      <c r="B25" s="409">
        <v>269.28</v>
      </c>
      <c r="C25" s="218"/>
      <c r="D25" s="452"/>
      <c r="E25" s="409"/>
      <c r="F25" s="218"/>
      <c r="G25" s="219"/>
      <c r="H25" s="218"/>
      <c r="I25" s="219"/>
      <c r="J25" s="136"/>
    </row>
    <row r="26" spans="1:10" ht="12.75">
      <c r="A26" s="452">
        <v>39352</v>
      </c>
      <c r="B26" s="409">
        <v>449.11</v>
      </c>
      <c r="C26" s="218"/>
      <c r="D26" s="452"/>
      <c r="E26" s="409"/>
      <c r="F26" s="218"/>
      <c r="G26" s="219"/>
      <c r="H26" s="218"/>
      <c r="I26" s="219"/>
      <c r="J26" s="136"/>
    </row>
    <row r="27" spans="1:10" ht="12.75">
      <c r="A27" s="452">
        <v>39356</v>
      </c>
      <c r="B27" s="409">
        <v>359.75</v>
      </c>
      <c r="C27" s="218"/>
      <c r="D27" s="452"/>
      <c r="E27" s="409"/>
      <c r="F27" s="218"/>
      <c r="G27" s="219"/>
      <c r="H27" s="218"/>
      <c r="I27" s="219"/>
      <c r="J27" s="136"/>
    </row>
    <row r="28" spans="1:10" ht="12.75">
      <c r="A28" s="452">
        <v>39358</v>
      </c>
      <c r="B28" s="409">
        <v>270</v>
      </c>
      <c r="C28" s="218"/>
      <c r="D28" s="452"/>
      <c r="E28" s="409"/>
      <c r="F28" s="218"/>
      <c r="G28" s="219"/>
      <c r="H28" s="218"/>
      <c r="I28" s="219"/>
      <c r="J28" s="136"/>
    </row>
    <row r="29" spans="1:10" ht="12.75">
      <c r="A29" s="452">
        <v>39359</v>
      </c>
      <c r="B29" s="409">
        <v>360.13</v>
      </c>
      <c r="C29" s="218"/>
      <c r="D29" s="452"/>
      <c r="E29" s="409"/>
      <c r="F29" s="218"/>
      <c r="G29" s="219"/>
      <c r="H29" s="218"/>
      <c r="I29" s="219"/>
      <c r="J29" s="136"/>
    </row>
    <row r="30" spans="1:10" ht="12.75">
      <c r="A30" s="452">
        <v>39360</v>
      </c>
      <c r="B30" s="409">
        <v>540.39</v>
      </c>
      <c r="C30" s="218"/>
      <c r="D30" s="452"/>
      <c r="E30" s="409"/>
      <c r="F30" s="218"/>
      <c r="G30" s="219"/>
      <c r="H30" s="218"/>
      <c r="I30" s="219"/>
      <c r="J30" s="136"/>
    </row>
    <row r="31" spans="1:10" ht="12.75">
      <c r="A31" s="452">
        <v>39363</v>
      </c>
      <c r="B31" s="409">
        <v>360.63</v>
      </c>
      <c r="C31" s="218"/>
      <c r="D31" s="452"/>
      <c r="E31" s="409"/>
      <c r="F31" s="218"/>
      <c r="G31" s="219"/>
      <c r="H31" s="218"/>
      <c r="I31" s="219"/>
      <c r="J31" s="136"/>
    </row>
    <row r="32" spans="1:10" ht="12.75">
      <c r="A32" s="452">
        <v>39371</v>
      </c>
      <c r="B32" s="409">
        <v>271.29</v>
      </c>
      <c r="C32" s="218"/>
      <c r="D32" s="452"/>
      <c r="E32" s="409"/>
      <c r="F32" s="218"/>
      <c r="G32" s="219"/>
      <c r="H32" s="218"/>
      <c r="I32" s="219"/>
      <c r="J32" s="136"/>
    </row>
    <row r="33" spans="1:10" ht="12.75">
      <c r="A33" s="452">
        <v>39373</v>
      </c>
      <c r="B33" s="409">
        <v>181.01</v>
      </c>
      <c r="C33" s="218"/>
      <c r="D33" s="452"/>
      <c r="E33" s="409"/>
      <c r="F33" s="218"/>
      <c r="G33" s="219"/>
      <c r="H33" s="218"/>
      <c r="I33" s="219"/>
      <c r="J33" s="136"/>
    </row>
    <row r="34" spans="1:10" ht="12.75">
      <c r="A34" s="452"/>
      <c r="B34" s="409"/>
      <c r="C34" s="218"/>
      <c r="D34" s="452">
        <v>39285</v>
      </c>
      <c r="E34" s="409">
        <v>270.91</v>
      </c>
      <c r="F34" s="218"/>
      <c r="G34" s="219"/>
      <c r="H34" s="218"/>
      <c r="I34" s="219"/>
      <c r="J34" s="136"/>
    </row>
    <row r="35" spans="1:10" ht="12.75">
      <c r="A35" s="452"/>
      <c r="B35" s="409"/>
      <c r="C35" s="218"/>
      <c r="D35" s="452">
        <v>39379</v>
      </c>
      <c r="E35" s="409">
        <v>2441.68</v>
      </c>
      <c r="F35" s="218"/>
      <c r="G35" s="219"/>
      <c r="H35" s="218"/>
      <c r="I35" s="219"/>
      <c r="J35" s="136"/>
    </row>
    <row r="36" spans="1:10" ht="12.75">
      <c r="A36" s="452"/>
      <c r="B36" s="409"/>
      <c r="C36" s="218"/>
      <c r="D36" s="452">
        <v>39379</v>
      </c>
      <c r="E36" s="409">
        <v>90.49</v>
      </c>
      <c r="F36" s="218"/>
      <c r="G36" s="219"/>
      <c r="H36" s="218"/>
      <c r="I36" s="219"/>
      <c r="J36" s="136"/>
    </row>
    <row r="37" spans="1:10" ht="12.75">
      <c r="A37" s="452"/>
      <c r="B37" s="409"/>
      <c r="C37" s="218"/>
      <c r="D37" s="452">
        <v>39386</v>
      </c>
      <c r="E37" s="409">
        <v>272.02</v>
      </c>
      <c r="F37" s="218"/>
      <c r="G37" s="219"/>
      <c r="H37" s="218"/>
      <c r="I37" s="219"/>
      <c r="J37" s="136"/>
    </row>
    <row r="38" spans="1:10" ht="12.75">
      <c r="A38" s="452">
        <v>39391</v>
      </c>
      <c r="B38" s="409">
        <v>363.98</v>
      </c>
      <c r="C38" s="218"/>
      <c r="D38" s="452"/>
      <c r="E38" s="409"/>
      <c r="F38" s="218"/>
      <c r="G38" s="219"/>
      <c r="H38" s="218"/>
      <c r="I38" s="219"/>
      <c r="J38" s="136"/>
    </row>
    <row r="39" spans="1:10" ht="12.75">
      <c r="A39" s="452">
        <v>39395</v>
      </c>
      <c r="B39" s="409">
        <v>455.57</v>
      </c>
      <c r="C39" s="218"/>
      <c r="D39" s="452"/>
      <c r="E39" s="409"/>
      <c r="F39" s="218"/>
      <c r="G39" s="219"/>
      <c r="H39" s="218"/>
      <c r="I39" s="219"/>
      <c r="J39" s="136"/>
    </row>
    <row r="40" spans="1:10" ht="12.75">
      <c r="A40" s="452"/>
      <c r="B40" s="409"/>
      <c r="C40" s="218"/>
      <c r="D40" s="452">
        <v>39398</v>
      </c>
      <c r="E40" s="409">
        <v>4007.63</v>
      </c>
      <c r="F40" s="218"/>
      <c r="G40" s="219"/>
      <c r="H40" s="218"/>
      <c r="I40" s="219"/>
      <c r="J40" s="136"/>
    </row>
    <row r="41" spans="1:10" ht="12.75">
      <c r="A41" s="452"/>
      <c r="B41" s="409"/>
      <c r="C41" s="218"/>
      <c r="D41" s="452">
        <v>39400</v>
      </c>
      <c r="E41" s="409">
        <v>456.23</v>
      </c>
      <c r="F41" s="218"/>
      <c r="G41" s="219"/>
      <c r="H41" s="218"/>
      <c r="I41" s="219"/>
      <c r="J41" s="136"/>
    </row>
    <row r="42" spans="1:10" ht="12.75">
      <c r="A42" s="452">
        <v>39413</v>
      </c>
      <c r="B42" s="409">
        <v>1007.79</v>
      </c>
      <c r="C42" s="218"/>
      <c r="D42" s="452"/>
      <c r="E42" s="409"/>
      <c r="F42" s="218"/>
      <c r="G42" s="219"/>
      <c r="H42" s="218"/>
      <c r="I42" s="219"/>
      <c r="J42" s="136"/>
    </row>
    <row r="43" spans="1:10" ht="12.75">
      <c r="A43" s="452">
        <v>39419</v>
      </c>
      <c r="B43" s="409">
        <v>458.94</v>
      </c>
      <c r="C43" s="218"/>
      <c r="D43" s="452"/>
      <c r="E43" s="409"/>
      <c r="F43" s="218"/>
      <c r="G43" s="219"/>
      <c r="H43" s="218"/>
      <c r="I43" s="219"/>
      <c r="J43" s="136"/>
    </row>
    <row r="44" spans="1:10" ht="12.75">
      <c r="A44" s="452"/>
      <c r="B44" s="409"/>
      <c r="C44" s="218"/>
      <c r="D44" s="452">
        <v>39420</v>
      </c>
      <c r="E44" s="409">
        <v>642.57</v>
      </c>
      <c r="F44" s="218"/>
      <c r="G44" s="219"/>
      <c r="H44" s="218"/>
      <c r="I44" s="219"/>
      <c r="J44" s="136"/>
    </row>
    <row r="45" spans="1:10" ht="12.75">
      <c r="A45" s="452">
        <v>39423</v>
      </c>
      <c r="B45" s="409">
        <v>367.6</v>
      </c>
      <c r="C45" s="218"/>
      <c r="D45" s="452"/>
      <c r="E45" s="409"/>
      <c r="F45" s="218"/>
      <c r="G45" s="219"/>
      <c r="H45" s="218"/>
      <c r="I45" s="219"/>
      <c r="J45" s="136"/>
    </row>
    <row r="46" spans="1:10" ht="12.75">
      <c r="A46" s="452"/>
      <c r="B46" s="409"/>
      <c r="C46" s="218"/>
      <c r="D46" s="452">
        <v>39429</v>
      </c>
      <c r="E46" s="409">
        <v>276.08</v>
      </c>
      <c r="F46" s="218"/>
      <c r="G46" s="219"/>
      <c r="H46" s="218"/>
      <c r="I46" s="219"/>
      <c r="J46" s="136"/>
    </row>
    <row r="47" spans="1:10" ht="12.75">
      <c r="A47" s="452"/>
      <c r="B47" s="409"/>
      <c r="C47" s="218"/>
      <c r="D47" s="452">
        <v>39433</v>
      </c>
      <c r="E47" s="409">
        <v>184.26</v>
      </c>
      <c r="F47" s="218"/>
      <c r="G47" s="219"/>
      <c r="H47" s="218"/>
      <c r="I47" s="219"/>
      <c r="J47" s="136"/>
    </row>
    <row r="48" spans="1:10" ht="12.75">
      <c r="A48" s="452"/>
      <c r="B48" s="409"/>
      <c r="C48" s="218"/>
      <c r="D48" s="452">
        <v>27.12</v>
      </c>
      <c r="E48" s="409">
        <v>184.77</v>
      </c>
      <c r="F48" s="218"/>
      <c r="G48" s="219"/>
      <c r="H48" s="218"/>
      <c r="I48" s="219"/>
      <c r="J48" s="136"/>
    </row>
    <row r="49" spans="1:10" ht="12.75">
      <c r="A49" s="452"/>
      <c r="B49" s="409"/>
      <c r="C49" s="218"/>
      <c r="D49" s="452">
        <v>39109</v>
      </c>
      <c r="E49" s="409">
        <v>92.38</v>
      </c>
      <c r="F49" s="218"/>
      <c r="G49" s="219"/>
      <c r="H49" s="218"/>
      <c r="I49" s="219"/>
      <c r="J49" s="136"/>
    </row>
    <row r="50" spans="1:10" ht="12.75">
      <c r="A50" s="452">
        <v>39450</v>
      </c>
      <c r="B50" s="409">
        <v>463.21</v>
      </c>
      <c r="C50" s="218"/>
      <c r="D50" s="452"/>
      <c r="E50" s="409"/>
      <c r="F50" s="218"/>
      <c r="G50" s="219"/>
      <c r="H50" s="218"/>
      <c r="I50" s="219"/>
      <c r="J50" s="136"/>
    </row>
    <row r="51" spans="1:10" ht="12.75">
      <c r="A51" s="452"/>
      <c r="B51" s="409"/>
      <c r="C51" s="218"/>
      <c r="D51" s="452">
        <v>39458</v>
      </c>
      <c r="E51" s="409">
        <v>185.52</v>
      </c>
      <c r="F51" s="218"/>
      <c r="G51" s="219"/>
      <c r="H51" s="218"/>
      <c r="I51" s="219"/>
      <c r="J51" s="136"/>
    </row>
    <row r="52" spans="1:10" ht="12.75">
      <c r="A52" s="452"/>
      <c r="B52" s="409"/>
      <c r="C52" s="218"/>
      <c r="D52" s="452">
        <v>39462</v>
      </c>
      <c r="E52" s="409">
        <v>278.6</v>
      </c>
      <c r="F52" s="218"/>
      <c r="G52" s="219"/>
      <c r="H52" s="218"/>
      <c r="I52" s="219"/>
      <c r="J52" s="136"/>
    </row>
    <row r="53" spans="1:10" ht="12.75">
      <c r="A53" s="452">
        <v>39465</v>
      </c>
      <c r="B53" s="409">
        <v>279.18</v>
      </c>
      <c r="C53" s="218"/>
      <c r="D53" s="452"/>
      <c r="E53" s="409"/>
      <c r="F53" s="218"/>
      <c r="G53" s="219"/>
      <c r="H53" s="218"/>
      <c r="I53" s="219"/>
      <c r="J53" s="136"/>
    </row>
    <row r="54" spans="1:10" ht="12.75">
      <c r="A54" s="452"/>
      <c r="B54" s="409"/>
      <c r="C54" s="218"/>
      <c r="D54" s="452">
        <v>39478</v>
      </c>
      <c r="E54" s="409">
        <v>279.97</v>
      </c>
      <c r="F54" s="218"/>
      <c r="G54" s="219"/>
      <c r="H54" s="218"/>
      <c r="I54" s="219"/>
      <c r="J54" s="136"/>
    </row>
    <row r="55" spans="1:10" ht="12.75">
      <c r="A55" s="452">
        <v>39479</v>
      </c>
      <c r="B55" s="409">
        <v>373.7</v>
      </c>
      <c r="C55" s="218"/>
      <c r="D55" s="452"/>
      <c r="E55" s="409"/>
      <c r="F55" s="218"/>
      <c r="G55" s="219"/>
      <c r="H55" s="218"/>
      <c r="I55" s="219"/>
      <c r="J55" s="136"/>
    </row>
    <row r="56" spans="1:10" ht="12.75">
      <c r="A56" s="452"/>
      <c r="B56" s="409"/>
      <c r="C56" s="218"/>
      <c r="D56" s="452">
        <v>39482</v>
      </c>
      <c r="E56" s="409">
        <v>841.22</v>
      </c>
      <c r="F56" s="218"/>
      <c r="G56" s="219"/>
      <c r="H56" s="218"/>
      <c r="I56" s="219"/>
      <c r="J56" s="136"/>
    </row>
    <row r="57" spans="1:10" ht="12.75">
      <c r="A57" s="452">
        <v>39520</v>
      </c>
      <c r="B57" s="409">
        <v>850.69</v>
      </c>
      <c r="C57" s="218"/>
      <c r="D57" s="452"/>
      <c r="E57" s="409"/>
      <c r="F57" s="218"/>
      <c r="G57" s="219"/>
      <c r="H57" s="218"/>
      <c r="I57" s="219"/>
      <c r="J57" s="136"/>
    </row>
    <row r="58" spans="1:10" ht="12.75">
      <c r="A58" s="452"/>
      <c r="B58" s="409"/>
      <c r="C58" s="218"/>
      <c r="D58" s="452">
        <v>39525</v>
      </c>
      <c r="E58" s="409">
        <v>94.64</v>
      </c>
      <c r="F58" s="218"/>
      <c r="G58" s="219"/>
      <c r="H58" s="218"/>
      <c r="I58" s="219"/>
      <c r="J58" s="136"/>
    </row>
    <row r="59" spans="1:10" ht="12.75">
      <c r="A59" s="452"/>
      <c r="B59" s="409"/>
      <c r="C59" s="218"/>
      <c r="D59" s="452">
        <v>39538</v>
      </c>
      <c r="E59" s="409">
        <v>94.96</v>
      </c>
      <c r="F59" s="218"/>
      <c r="G59" s="219"/>
      <c r="H59" s="218"/>
      <c r="I59" s="219"/>
      <c r="J59" s="136"/>
    </row>
    <row r="60" spans="1:10" ht="12.75">
      <c r="A60" s="452">
        <v>39539</v>
      </c>
      <c r="B60" s="409">
        <v>380.23</v>
      </c>
      <c r="C60" s="218"/>
      <c r="D60" s="452"/>
      <c r="E60" s="409"/>
      <c r="F60" s="218"/>
      <c r="G60" s="219"/>
      <c r="H60" s="218"/>
      <c r="I60" s="219"/>
      <c r="J60" s="136"/>
    </row>
    <row r="61" spans="1:10" ht="12.75">
      <c r="A61" s="452">
        <v>39541</v>
      </c>
      <c r="B61" s="409">
        <v>475.42</v>
      </c>
      <c r="C61" s="218"/>
      <c r="D61" s="452"/>
      <c r="E61" s="409"/>
      <c r="F61" s="218"/>
      <c r="G61" s="219"/>
      <c r="H61" s="218"/>
      <c r="I61" s="219"/>
      <c r="J61" s="136"/>
    </row>
    <row r="62" spans="1:10" ht="12.75">
      <c r="A62" s="452">
        <v>39545</v>
      </c>
      <c r="B62" s="409">
        <v>95.21</v>
      </c>
      <c r="C62" s="218"/>
      <c r="D62" s="452"/>
      <c r="E62" s="409"/>
      <c r="F62" s="218"/>
      <c r="G62" s="219"/>
      <c r="H62" s="218"/>
      <c r="I62" s="219"/>
      <c r="J62" s="136"/>
    </row>
    <row r="63" spans="1:10" ht="12.75">
      <c r="A63" s="452">
        <v>39554</v>
      </c>
      <c r="B63" s="409">
        <v>190.92</v>
      </c>
      <c r="C63" s="218"/>
      <c r="D63" s="452"/>
      <c r="E63" s="409"/>
      <c r="F63" s="218"/>
      <c r="G63" s="219"/>
      <c r="H63" s="218"/>
      <c r="I63" s="219"/>
      <c r="J63" s="136"/>
    </row>
    <row r="64" spans="1:10" ht="12.75">
      <c r="A64" s="452"/>
      <c r="B64" s="409"/>
      <c r="C64" s="218"/>
      <c r="D64" s="452">
        <v>39559</v>
      </c>
      <c r="E64" s="409">
        <v>95.47</v>
      </c>
      <c r="F64" s="218"/>
      <c r="G64" s="219"/>
      <c r="H64" s="218"/>
      <c r="I64" s="219"/>
      <c r="J64" s="136"/>
    </row>
    <row r="65" spans="1:10" ht="12.75">
      <c r="A65" s="452"/>
      <c r="B65" s="409"/>
      <c r="C65" s="218"/>
      <c r="D65" s="452">
        <v>39568</v>
      </c>
      <c r="E65" s="409">
        <v>287.05</v>
      </c>
      <c r="F65" s="218"/>
      <c r="G65" s="219"/>
      <c r="H65" s="218"/>
      <c r="I65" s="219"/>
      <c r="J65" s="136"/>
    </row>
    <row r="66" spans="1:10" ht="12.75">
      <c r="A66" s="452">
        <v>39569</v>
      </c>
      <c r="B66" s="409">
        <v>383.34</v>
      </c>
      <c r="C66" s="218"/>
      <c r="D66" s="452"/>
      <c r="E66" s="409"/>
      <c r="F66" s="218"/>
      <c r="G66" s="219"/>
      <c r="H66" s="218"/>
      <c r="I66" s="219"/>
      <c r="J66" s="136"/>
    </row>
    <row r="67" spans="1:10" ht="12.75">
      <c r="A67" s="452">
        <v>39574</v>
      </c>
      <c r="B67" s="409">
        <v>287.95</v>
      </c>
      <c r="C67" s="218"/>
      <c r="D67" s="452"/>
      <c r="E67" s="409"/>
      <c r="F67" s="218"/>
      <c r="G67" s="219"/>
      <c r="H67" s="218"/>
      <c r="I67" s="219"/>
      <c r="J67" s="136"/>
    </row>
    <row r="68" spans="1:10" ht="12.75">
      <c r="A68" s="452"/>
      <c r="B68" s="409"/>
      <c r="C68" s="218"/>
      <c r="D68" s="452">
        <v>39576</v>
      </c>
      <c r="E68" s="409">
        <v>671.42</v>
      </c>
      <c r="F68" s="218"/>
      <c r="G68" s="219"/>
      <c r="H68" s="218"/>
      <c r="I68" s="219"/>
      <c r="J68" s="136"/>
    </row>
    <row r="69" spans="1:10" ht="12.75">
      <c r="A69" s="452"/>
      <c r="B69" s="409"/>
      <c r="C69" s="218"/>
      <c r="D69" s="452">
        <v>39581</v>
      </c>
      <c r="E69" s="409">
        <v>96.08</v>
      </c>
      <c r="F69" s="218"/>
      <c r="G69" s="219"/>
      <c r="H69" s="218"/>
      <c r="I69" s="219"/>
      <c r="J69" s="136"/>
    </row>
    <row r="70" spans="1:10" ht="12.75">
      <c r="A70" s="452"/>
      <c r="B70" s="409"/>
      <c r="C70" s="218"/>
      <c r="D70" s="452">
        <v>39584</v>
      </c>
      <c r="E70" s="409">
        <v>1154.48</v>
      </c>
      <c r="F70" s="218"/>
      <c r="G70" s="219"/>
      <c r="H70" s="218"/>
      <c r="I70" s="219"/>
      <c r="J70" s="136"/>
    </row>
    <row r="71" spans="1:10" ht="12.75">
      <c r="A71" s="452">
        <v>39589</v>
      </c>
      <c r="B71" s="409">
        <v>771.49</v>
      </c>
      <c r="C71" s="218"/>
      <c r="D71" s="452"/>
      <c r="E71" s="409"/>
      <c r="F71" s="218"/>
      <c r="G71" s="219"/>
      <c r="H71" s="218"/>
      <c r="I71" s="219"/>
      <c r="J71" s="136"/>
    </row>
    <row r="72" spans="1:10" ht="12.75">
      <c r="A72" s="452"/>
      <c r="B72" s="409"/>
      <c r="C72" s="218"/>
      <c r="D72" s="452">
        <v>39598</v>
      </c>
      <c r="E72" s="409">
        <v>193.25</v>
      </c>
      <c r="F72" s="218"/>
      <c r="G72" s="219"/>
      <c r="H72" s="218"/>
      <c r="I72" s="219"/>
      <c r="J72" s="136"/>
    </row>
    <row r="73" spans="1:10" ht="12.75">
      <c r="A73" s="452"/>
      <c r="B73" s="409"/>
      <c r="C73" s="218"/>
      <c r="D73" s="452"/>
      <c r="E73" s="409"/>
      <c r="F73" s="218"/>
      <c r="G73" s="219"/>
      <c r="H73" s="218"/>
      <c r="I73" s="219"/>
      <c r="J73" s="136"/>
    </row>
    <row r="74" spans="1:10" ht="12.75">
      <c r="A74" s="452"/>
      <c r="B74" s="409"/>
      <c r="C74" s="218"/>
      <c r="D74" s="452"/>
      <c r="E74" s="409"/>
      <c r="F74" s="218"/>
      <c r="G74" s="219"/>
      <c r="H74" s="218"/>
      <c r="I74" s="219"/>
      <c r="J74" s="136"/>
    </row>
    <row r="75" spans="1:10" ht="12.75">
      <c r="A75" s="452"/>
      <c r="B75" s="409"/>
      <c r="C75" s="218"/>
      <c r="D75" s="452"/>
      <c r="E75" s="409"/>
      <c r="F75" s="218"/>
      <c r="G75" s="219"/>
      <c r="H75" s="218"/>
      <c r="I75" s="219"/>
      <c r="J75" s="136"/>
    </row>
    <row r="76" spans="1:10" ht="15">
      <c r="A76" s="147"/>
      <c r="B76" s="220">
        <f>SUM(B6:B75)</f>
        <v>16058.990000000002</v>
      </c>
      <c r="C76" s="220"/>
      <c r="D76" s="254"/>
      <c r="E76" s="220">
        <f>SUM(E6:E75)</f>
        <v>15479.219999999996</v>
      </c>
      <c r="F76" s="220"/>
      <c r="G76" s="453">
        <v>773.57</v>
      </c>
      <c r="H76" s="218"/>
      <c r="I76" s="221">
        <f>(G76+E76)-B76</f>
        <v>193.79999999999382</v>
      </c>
      <c r="J76" s="136"/>
    </row>
    <row r="78" spans="1:10" ht="12.75">
      <c r="A78" s="174"/>
      <c r="B78" s="170"/>
      <c r="C78" s="170"/>
      <c r="D78" s="169"/>
      <c r="E78" s="171"/>
      <c r="F78" s="171"/>
      <c r="G78" s="171"/>
      <c r="H78" s="170"/>
      <c r="I78" s="170"/>
      <c r="J78" s="170"/>
    </row>
    <row r="79" spans="1:10" ht="12.75">
      <c r="A79" s="174"/>
      <c r="B79" s="170"/>
      <c r="C79" s="170"/>
      <c r="D79" s="169"/>
      <c r="E79" s="171"/>
      <c r="F79" s="171"/>
      <c r="G79" s="171"/>
      <c r="H79" s="170"/>
      <c r="I79" s="170"/>
      <c r="J79" s="170"/>
    </row>
    <row r="80" spans="1:10" ht="13.5">
      <c r="A80" s="258"/>
      <c r="B80" s="138"/>
      <c r="C80" s="136"/>
      <c r="D80" s="258"/>
      <c r="E80" s="138"/>
      <c r="F80" s="138"/>
      <c r="G80" s="255"/>
      <c r="H80" s="256"/>
      <c r="I80" s="257"/>
      <c r="J80" s="256"/>
    </row>
    <row r="81" ht="12.75">
      <c r="B81"/>
    </row>
    <row r="82" ht="12.75">
      <c r="A82" s="496" t="s">
        <v>294</v>
      </c>
    </row>
    <row r="83" ht="12.75">
      <c r="A83" s="496" t="s">
        <v>295</v>
      </c>
    </row>
    <row r="84" ht="12.75">
      <c r="A84" s="496" t="s">
        <v>296</v>
      </c>
    </row>
    <row r="85" ht="12.75">
      <c r="A85" s="496" t="s">
        <v>318</v>
      </c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28">
    <tabColor indexed="50"/>
    <pageSetUpPr fitToPage="1"/>
  </sheetPr>
  <dimension ref="A1:O30"/>
  <sheetViews>
    <sheetView workbookViewId="0" topLeftCell="A1">
      <selection activeCell="G71" sqref="G71"/>
    </sheetView>
  </sheetViews>
  <sheetFormatPr defaultColWidth="9.140625" defaultRowHeight="12.75"/>
  <cols>
    <col min="1" max="1" width="5.00390625" style="0" customWidth="1"/>
    <col min="2" max="2" width="10.140625" style="0" bestFit="1" customWidth="1"/>
    <col min="3" max="3" width="10.28125" style="0" customWidth="1"/>
    <col min="4" max="4" width="9.8515625" style="0" customWidth="1"/>
    <col min="5" max="5" width="8.421875" style="0" customWidth="1"/>
    <col min="6" max="6" width="13.8515625" style="0" customWidth="1"/>
    <col min="7" max="7" width="13.28125" style="0" customWidth="1"/>
    <col min="9" max="10" width="7.28125" style="0" bestFit="1" customWidth="1"/>
    <col min="11" max="11" width="2.140625" style="0" customWidth="1"/>
    <col min="12" max="12" width="17.421875" style="0" customWidth="1"/>
    <col min="13" max="13" width="2.140625" style="0" customWidth="1"/>
    <col min="14" max="14" width="18.8515625" style="0" customWidth="1"/>
    <col min="15" max="15" width="2.00390625" style="0" customWidth="1"/>
  </cols>
  <sheetData>
    <row r="1" spans="1:15" ht="24">
      <c r="A1" s="283" t="s">
        <v>188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8"/>
      <c r="O1" s="268"/>
    </row>
    <row r="2" spans="1:15" ht="21">
      <c r="A2" s="263"/>
      <c r="B2" s="263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8"/>
      <c r="O2" s="268"/>
    </row>
    <row r="3" spans="1:15" ht="21">
      <c r="A3" s="265"/>
      <c r="B3" s="265"/>
      <c r="C3" s="262"/>
      <c r="D3" s="262"/>
      <c r="E3" s="262"/>
      <c r="F3" s="262"/>
      <c r="G3" s="262"/>
      <c r="H3" s="262"/>
      <c r="I3" s="262" t="s">
        <v>14</v>
      </c>
      <c r="J3" s="262" t="s">
        <v>14</v>
      </c>
      <c r="K3" s="262"/>
      <c r="L3" s="262" t="s">
        <v>202</v>
      </c>
      <c r="M3" s="277"/>
      <c r="N3" s="277" t="s">
        <v>265</v>
      </c>
      <c r="O3" s="136"/>
    </row>
    <row r="4" spans="1:15" s="261" customFormat="1" ht="12.75">
      <c r="A4" s="262"/>
      <c r="B4" s="262" t="s">
        <v>190</v>
      </c>
      <c r="C4" s="262"/>
      <c r="D4" s="262" t="s">
        <v>194</v>
      </c>
      <c r="E4" s="262"/>
      <c r="F4" s="262" t="s">
        <v>192</v>
      </c>
      <c r="G4" s="262" t="s">
        <v>194</v>
      </c>
      <c r="H4" s="262" t="s">
        <v>198</v>
      </c>
      <c r="I4" s="262" t="s">
        <v>199</v>
      </c>
      <c r="J4" s="262" t="s">
        <v>201</v>
      </c>
      <c r="K4" s="262"/>
      <c r="L4" s="262" t="s">
        <v>203</v>
      </c>
      <c r="M4" s="277"/>
      <c r="N4" s="277" t="s">
        <v>266</v>
      </c>
      <c r="O4" s="262"/>
    </row>
    <row r="5" spans="1:15" s="261" customFormat="1" ht="12.75">
      <c r="A5" s="262" t="s">
        <v>195</v>
      </c>
      <c r="B5" s="262" t="s">
        <v>191</v>
      </c>
      <c r="C5" s="262" t="s">
        <v>196</v>
      </c>
      <c r="D5" s="262" t="s">
        <v>191</v>
      </c>
      <c r="E5" s="262" t="s">
        <v>189</v>
      </c>
      <c r="F5" s="262" t="s">
        <v>193</v>
      </c>
      <c r="G5" s="262" t="s">
        <v>193</v>
      </c>
      <c r="H5" s="262" t="s">
        <v>197</v>
      </c>
      <c r="I5" s="262" t="s">
        <v>200</v>
      </c>
      <c r="J5" s="262" t="s">
        <v>200</v>
      </c>
      <c r="K5" s="262"/>
      <c r="L5" s="262" t="s">
        <v>200</v>
      </c>
      <c r="M5" s="277"/>
      <c r="N5" s="277" t="s">
        <v>267</v>
      </c>
      <c r="O5" s="262"/>
    </row>
    <row r="6" spans="1:15" ht="13.5">
      <c r="A6" s="454"/>
      <c r="B6" s="455"/>
      <c r="C6" s="456"/>
      <c r="D6" s="457"/>
      <c r="E6" s="458"/>
      <c r="F6" s="459"/>
      <c r="G6" s="460"/>
      <c r="H6" s="458"/>
      <c r="I6" s="461"/>
      <c r="J6" s="461"/>
      <c r="K6" s="266"/>
      <c r="L6" s="288"/>
      <c r="M6" s="279"/>
      <c r="N6" s="463"/>
      <c r="O6" s="136"/>
    </row>
    <row r="7" spans="1:15" ht="13.5">
      <c r="A7" s="454"/>
      <c r="B7" s="455"/>
      <c r="C7" s="456"/>
      <c r="D7" s="457"/>
      <c r="E7" s="458"/>
      <c r="F7" s="459"/>
      <c r="G7" s="460"/>
      <c r="H7" s="458"/>
      <c r="I7" s="461"/>
      <c r="J7" s="461"/>
      <c r="K7" s="266"/>
      <c r="L7" s="288"/>
      <c r="M7" s="279"/>
      <c r="N7" s="463"/>
      <c r="O7" s="136"/>
    </row>
    <row r="8" spans="1:15" ht="13.5">
      <c r="A8" s="454"/>
      <c r="B8" s="455"/>
      <c r="C8" s="462"/>
      <c r="D8" s="457"/>
      <c r="E8" s="458"/>
      <c r="F8" s="459"/>
      <c r="G8" s="460"/>
      <c r="H8" s="458"/>
      <c r="I8" s="461"/>
      <c r="J8" s="461"/>
      <c r="K8" s="266"/>
      <c r="L8" s="288">
        <f>IF(A8&lt;&gt;"",IF(Ekstre!$F$2&gt;C8,(F8-G8),(N8-G8)),"")</f>
      </c>
      <c r="M8" s="279"/>
      <c r="N8" s="463"/>
      <c r="O8" s="136"/>
    </row>
    <row r="9" spans="1:15" ht="13.5">
      <c r="A9" s="454"/>
      <c r="B9" s="455"/>
      <c r="C9" s="462"/>
      <c r="D9" s="457"/>
      <c r="E9" s="458"/>
      <c r="F9" s="459"/>
      <c r="G9" s="460"/>
      <c r="H9" s="458"/>
      <c r="I9" s="461"/>
      <c r="J9" s="461"/>
      <c r="K9" s="266"/>
      <c r="L9" s="288">
        <f>IF(A9&lt;&gt;"",IF(Ekstre!$F$2&gt;C9,(F9-G9),(N9-G9)),"")</f>
      </c>
      <c r="M9" s="279"/>
      <c r="N9" s="463"/>
      <c r="O9" s="136"/>
    </row>
    <row r="10" spans="1:15" ht="13.5">
      <c r="A10" s="454"/>
      <c r="B10" s="455"/>
      <c r="C10" s="462"/>
      <c r="D10" s="457"/>
      <c r="E10" s="458"/>
      <c r="F10" s="459"/>
      <c r="G10" s="460"/>
      <c r="H10" s="458"/>
      <c r="I10" s="461"/>
      <c r="J10" s="461"/>
      <c r="K10" s="266"/>
      <c r="L10" s="288">
        <f>IF(A10&lt;&gt;"",IF(Ekstre!$F$2&gt;C10,(F10-G10),(N10-G10)),"")</f>
      </c>
      <c r="M10" s="279"/>
      <c r="N10" s="463"/>
      <c r="O10" s="136"/>
    </row>
    <row r="11" spans="1:15" ht="13.5">
      <c r="A11" s="454"/>
      <c r="B11" s="455"/>
      <c r="C11" s="462"/>
      <c r="D11" s="457"/>
      <c r="E11" s="458"/>
      <c r="F11" s="459"/>
      <c r="G11" s="460"/>
      <c r="H11" s="458"/>
      <c r="I11" s="461"/>
      <c r="J11" s="461"/>
      <c r="K11" s="266"/>
      <c r="L11" s="288">
        <f>IF(A11&lt;&gt;"",IF(Ekstre!$F$2&gt;C11,(F11-G11),(N11-G11)),"")</f>
      </c>
      <c r="M11" s="279"/>
      <c r="N11" s="463"/>
      <c r="O11" s="136"/>
    </row>
    <row r="12" spans="1:15" ht="13.5">
      <c r="A12" s="454"/>
      <c r="B12" s="455"/>
      <c r="C12" s="462"/>
      <c r="D12" s="457"/>
      <c r="E12" s="458"/>
      <c r="F12" s="459"/>
      <c r="G12" s="460"/>
      <c r="H12" s="458"/>
      <c r="I12" s="461"/>
      <c r="J12" s="461"/>
      <c r="K12" s="266"/>
      <c r="L12" s="288">
        <f>IF(A12&lt;&gt;"",IF(Ekstre!$F$2&gt;C12,(F12-G12),(N12-G12)),"")</f>
      </c>
      <c r="M12" s="279"/>
      <c r="N12" s="463"/>
      <c r="O12" s="136"/>
    </row>
    <row r="13" spans="1:15" ht="13.5">
      <c r="A13" s="454"/>
      <c r="B13" s="455"/>
      <c r="C13" s="462"/>
      <c r="D13" s="457"/>
      <c r="E13" s="458"/>
      <c r="F13" s="459"/>
      <c r="G13" s="460"/>
      <c r="H13" s="458"/>
      <c r="I13" s="461"/>
      <c r="J13" s="461"/>
      <c r="K13" s="266"/>
      <c r="L13" s="288">
        <f>IF(A13&lt;&gt;"",IF(Ekstre!$F$2&gt;C13,(F13-G13),(N13-G13)),"")</f>
      </c>
      <c r="M13" s="279"/>
      <c r="N13" s="463"/>
      <c r="O13" s="136"/>
    </row>
    <row r="14" spans="1:15" ht="13.5">
      <c r="A14" s="454"/>
      <c r="B14" s="455"/>
      <c r="C14" s="462"/>
      <c r="D14" s="457"/>
      <c r="E14" s="458"/>
      <c r="F14" s="459"/>
      <c r="G14" s="460"/>
      <c r="H14" s="458"/>
      <c r="I14" s="461"/>
      <c r="J14" s="461"/>
      <c r="K14" s="266"/>
      <c r="L14" s="288">
        <f>IF(A14&lt;&gt;"",IF(Ekstre!$F$2&gt;C14,(F14-G14),(N14-G14)),"")</f>
      </c>
      <c r="M14" s="279"/>
      <c r="N14" s="463"/>
      <c r="O14" s="136"/>
    </row>
    <row r="15" spans="1:15" ht="13.5">
      <c r="A15" s="454"/>
      <c r="B15" s="455"/>
      <c r="C15" s="462"/>
      <c r="D15" s="457"/>
      <c r="E15" s="458"/>
      <c r="F15" s="459"/>
      <c r="G15" s="460"/>
      <c r="H15" s="458"/>
      <c r="I15" s="461"/>
      <c r="J15" s="461"/>
      <c r="K15" s="266"/>
      <c r="L15" s="288">
        <f>IF(A15&lt;&gt;"",IF(Ekstre!$F$2&gt;C15,(F15-G15),(N15-G15)),"")</f>
      </c>
      <c r="M15" s="279"/>
      <c r="N15" s="463"/>
      <c r="O15" s="136"/>
    </row>
    <row r="16" spans="1:15" ht="13.5">
      <c r="A16" s="454"/>
      <c r="B16" s="455"/>
      <c r="C16" s="462"/>
      <c r="D16" s="457"/>
      <c r="E16" s="458"/>
      <c r="F16" s="459"/>
      <c r="G16" s="460"/>
      <c r="H16" s="458"/>
      <c r="I16" s="461"/>
      <c r="J16" s="461"/>
      <c r="K16" s="266"/>
      <c r="L16" s="288">
        <f>IF(A16&lt;&gt;"",IF(Ekstre!$F$2&gt;C16,(F16-G16),(N16-G16)),"")</f>
      </c>
      <c r="M16" s="279"/>
      <c r="N16" s="463"/>
      <c r="O16" s="136"/>
    </row>
    <row r="17" spans="1:15" ht="13.5">
      <c r="A17" s="454"/>
      <c r="B17" s="455"/>
      <c r="C17" s="462"/>
      <c r="D17" s="457"/>
      <c r="E17" s="458"/>
      <c r="F17" s="459"/>
      <c r="G17" s="460"/>
      <c r="H17" s="458"/>
      <c r="I17" s="461"/>
      <c r="J17" s="461"/>
      <c r="K17" s="266"/>
      <c r="L17" s="288">
        <f>IF(A17&lt;&gt;"",IF(Ekstre!$F$2&gt;C17,(F17-G17),(N17-G17)),"")</f>
      </c>
      <c r="M17" s="279"/>
      <c r="N17" s="463"/>
      <c r="O17" s="136"/>
    </row>
    <row r="18" spans="1:15" ht="13.5">
      <c r="A18" s="454"/>
      <c r="B18" s="455"/>
      <c r="C18" s="462"/>
      <c r="D18" s="457"/>
      <c r="E18" s="458"/>
      <c r="F18" s="459"/>
      <c r="G18" s="460"/>
      <c r="H18" s="458"/>
      <c r="I18" s="461"/>
      <c r="J18" s="461"/>
      <c r="K18" s="266"/>
      <c r="L18" s="288">
        <f>IF(A18&lt;&gt;"",IF(Ekstre!$F$2&gt;C18,(F18-G18),(N18-G18)),"")</f>
      </c>
      <c r="M18" s="279"/>
      <c r="N18" s="463"/>
      <c r="O18" s="136"/>
    </row>
    <row r="19" spans="1:15" ht="13.5">
      <c r="A19" s="454"/>
      <c r="B19" s="455"/>
      <c r="C19" s="462"/>
      <c r="D19" s="457"/>
      <c r="E19" s="458"/>
      <c r="F19" s="459"/>
      <c r="G19" s="460"/>
      <c r="H19" s="458"/>
      <c r="I19" s="461"/>
      <c r="J19" s="461"/>
      <c r="K19" s="266"/>
      <c r="L19" s="288">
        <f>IF(A19&lt;&gt;"",IF(Ekstre!$F$2&gt;C19,(F19-G19),(N19-G19)),"")</f>
      </c>
      <c r="M19" s="279"/>
      <c r="N19" s="463"/>
      <c r="O19" s="136"/>
    </row>
    <row r="20" spans="1:15" ht="13.5">
      <c r="A20" s="454"/>
      <c r="B20" s="455"/>
      <c r="C20" s="462"/>
      <c r="D20" s="457"/>
      <c r="E20" s="458"/>
      <c r="F20" s="459"/>
      <c r="G20" s="460"/>
      <c r="H20" s="458"/>
      <c r="I20" s="461"/>
      <c r="J20" s="461"/>
      <c r="K20" s="266"/>
      <c r="L20" s="288">
        <f>IF(A20&lt;&gt;"",IF(Ekstre!$F$2&gt;C20,(F20-G20),(N20-G20)),"")</f>
      </c>
      <c r="M20" s="279"/>
      <c r="N20" s="463"/>
      <c r="O20" s="136"/>
    </row>
    <row r="21" spans="1:15" ht="13.5">
      <c r="A21" s="454"/>
      <c r="B21" s="455"/>
      <c r="C21" s="462"/>
      <c r="D21" s="457"/>
      <c r="E21" s="458"/>
      <c r="F21" s="459"/>
      <c r="G21" s="460"/>
      <c r="H21" s="458"/>
      <c r="I21" s="461"/>
      <c r="J21" s="461"/>
      <c r="K21" s="266"/>
      <c r="L21" s="288">
        <f>IF(A21&lt;&gt;"",IF(Ekstre!$F$2&gt;C21,(F21-G21),(N21-G21)),"")</f>
      </c>
      <c r="M21" s="279"/>
      <c r="N21" s="463"/>
      <c r="O21" s="136"/>
    </row>
    <row r="22" spans="1:15" ht="12.75">
      <c r="A22" s="269"/>
      <c r="B22" s="270"/>
      <c r="C22" s="270"/>
      <c r="D22" s="270"/>
      <c r="E22" s="271"/>
      <c r="F22" s="272"/>
      <c r="G22" s="273"/>
      <c r="H22" s="271"/>
      <c r="I22" s="271"/>
      <c r="J22" s="271"/>
      <c r="K22" s="267"/>
      <c r="L22" s="271"/>
      <c r="M22" s="278"/>
      <c r="N22" s="271"/>
      <c r="O22" s="136"/>
    </row>
    <row r="23" spans="1:15" ht="17.25">
      <c r="A23" s="275"/>
      <c r="B23" s="274"/>
      <c r="C23" s="274"/>
      <c r="D23" s="274"/>
      <c r="E23" s="274"/>
      <c r="F23" s="274"/>
      <c r="G23" s="275"/>
      <c r="H23" s="284" t="s">
        <v>204</v>
      </c>
      <c r="I23" s="276"/>
      <c r="J23" s="276"/>
      <c r="K23" s="276"/>
      <c r="L23" s="285">
        <f>SUM(L6:L21)</f>
        <v>0</v>
      </c>
      <c r="M23" s="278"/>
      <c r="N23" s="286">
        <f>SUM(N6:N21)</f>
        <v>0</v>
      </c>
      <c r="O23" s="136"/>
    </row>
    <row r="24" spans="1:15" ht="12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268"/>
      <c r="O24" s="136"/>
    </row>
    <row r="25" spans="1:15" ht="17.25">
      <c r="A25" s="275"/>
      <c r="B25" s="275"/>
      <c r="C25" s="275"/>
      <c r="D25" s="275"/>
      <c r="E25" s="275"/>
      <c r="F25" s="275"/>
      <c r="G25" s="275"/>
      <c r="H25" s="284" t="s">
        <v>205</v>
      </c>
      <c r="I25" s="275"/>
      <c r="J25" s="275"/>
      <c r="K25" s="275"/>
      <c r="L25" s="275"/>
      <c r="M25" s="275"/>
      <c r="N25" s="275"/>
      <c r="O25" s="136"/>
    </row>
    <row r="27" spans="1:12" ht="12.75">
      <c r="A27" s="496" t="s">
        <v>294</v>
      </c>
      <c r="L27" s="3"/>
    </row>
    <row r="28" spans="1:12" ht="12.75">
      <c r="A28" s="496" t="s">
        <v>295</v>
      </c>
      <c r="L28" s="287"/>
    </row>
    <row r="29" ht="12.75">
      <c r="A29" s="496" t="s">
        <v>296</v>
      </c>
    </row>
    <row r="30" ht="12.75">
      <c r="A30" s="496" t="s">
        <v>318</v>
      </c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>
    <tabColor indexed="19"/>
    <pageSetUpPr fitToPage="1"/>
  </sheetPr>
  <dimension ref="A1:J35"/>
  <sheetViews>
    <sheetView workbookViewId="0" topLeftCell="A1">
      <selection activeCell="I26" sqref="I26"/>
    </sheetView>
  </sheetViews>
  <sheetFormatPr defaultColWidth="9.140625" defaultRowHeight="12.75"/>
  <cols>
    <col min="1" max="1" width="10.140625" style="3" bestFit="1" customWidth="1"/>
    <col min="2" max="2" width="17.140625" style="4" customWidth="1"/>
    <col min="3" max="3" width="4.28125" style="0" customWidth="1"/>
    <col min="4" max="4" width="11.00390625" style="3" customWidth="1"/>
    <col min="5" max="5" width="16.8515625" style="4" customWidth="1"/>
    <col min="6" max="6" width="9.8515625" style="4" customWidth="1"/>
    <col min="7" max="7" width="19.57421875" style="4" bestFit="1" customWidth="1"/>
    <col min="8" max="8" width="4.421875" style="0" customWidth="1"/>
    <col min="9" max="9" width="20.421875" style="0" customWidth="1"/>
    <col min="10" max="10" width="3.8515625" style="0" customWidth="1"/>
  </cols>
  <sheetData>
    <row r="1" spans="1:10" ht="15">
      <c r="A1" s="160" t="s">
        <v>161</v>
      </c>
      <c r="B1" s="161"/>
      <c r="C1" s="162"/>
      <c r="D1" s="163"/>
      <c r="E1" s="176"/>
      <c r="F1" s="175">
        <f>Ekstre!F2</f>
        <v>39599</v>
      </c>
      <c r="G1" s="173" t="str">
        <f>Ekstre!G2</f>
        <v>TARİHİ İTİBARI İLE...</v>
      </c>
      <c r="H1" s="167" t="s">
        <v>164</v>
      </c>
      <c r="I1" s="159"/>
      <c r="J1" s="159"/>
    </row>
    <row r="2" spans="1:10" ht="24">
      <c r="A2" s="152" t="s">
        <v>217</v>
      </c>
      <c r="B2" s="153"/>
      <c r="C2" s="153"/>
      <c r="D2" s="153"/>
      <c r="E2" s="153"/>
      <c r="F2" s="154"/>
      <c r="G2" s="155"/>
      <c r="H2" s="136"/>
      <c r="I2" s="129" t="s">
        <v>109</v>
      </c>
      <c r="J2" s="136"/>
    </row>
    <row r="3" spans="1:10" ht="12.75">
      <c r="A3" s="132" t="s">
        <v>112</v>
      </c>
      <c r="B3" s="317" t="s">
        <v>103</v>
      </c>
      <c r="C3" s="136"/>
      <c r="D3" s="132" t="s">
        <v>112</v>
      </c>
      <c r="E3" s="317" t="s">
        <v>104</v>
      </c>
      <c r="F3" s="138"/>
      <c r="G3" s="134" t="s">
        <v>105</v>
      </c>
      <c r="H3" s="136"/>
      <c r="I3" s="129" t="s">
        <v>108</v>
      </c>
      <c r="J3" s="136"/>
    </row>
    <row r="4" spans="1:10" s="111" customFormat="1" ht="12.75">
      <c r="A4" s="132" t="s">
        <v>113</v>
      </c>
      <c r="B4" s="131" t="s">
        <v>114</v>
      </c>
      <c r="C4" s="137"/>
      <c r="D4" s="132" t="s">
        <v>113</v>
      </c>
      <c r="E4" s="131" t="s">
        <v>114</v>
      </c>
      <c r="F4" s="139"/>
      <c r="G4" s="135" t="s">
        <v>115</v>
      </c>
      <c r="H4" s="137"/>
      <c r="I4" s="130" t="s">
        <v>144</v>
      </c>
      <c r="J4" s="137"/>
    </row>
    <row r="5" spans="1:10" s="111" customFormat="1" ht="12.75">
      <c r="A5" s="132"/>
      <c r="B5" s="131" t="s">
        <v>183</v>
      </c>
      <c r="C5" s="137"/>
      <c r="D5" s="133"/>
      <c r="E5" s="131" t="s">
        <v>183</v>
      </c>
      <c r="F5" s="139"/>
      <c r="G5" s="134" t="s">
        <v>183</v>
      </c>
      <c r="H5" s="137"/>
      <c r="I5" s="130" t="s">
        <v>183</v>
      </c>
      <c r="J5" s="137"/>
    </row>
    <row r="6" spans="1:10" ht="12.75">
      <c r="A6" s="156" t="s">
        <v>160</v>
      </c>
      <c r="B6" s="409">
        <v>0</v>
      </c>
      <c r="C6" s="218"/>
      <c r="D6" s="409"/>
      <c r="E6" s="409"/>
      <c r="F6" s="218"/>
      <c r="G6" s="219"/>
      <c r="H6" s="218"/>
      <c r="I6" s="219"/>
      <c r="J6" s="136"/>
    </row>
    <row r="7" spans="1:10" ht="12.75">
      <c r="A7" s="452"/>
      <c r="B7" s="409"/>
      <c r="C7" s="218"/>
      <c r="D7" s="452"/>
      <c r="E7" s="409"/>
      <c r="F7" s="218"/>
      <c r="G7" s="219"/>
      <c r="H7" s="218"/>
      <c r="I7" s="219"/>
      <c r="J7" s="136"/>
    </row>
    <row r="8" spans="1:10" ht="12.75">
      <c r="A8" s="452"/>
      <c r="B8" s="409"/>
      <c r="C8" s="218"/>
      <c r="D8" s="452"/>
      <c r="E8" s="409"/>
      <c r="F8" s="218"/>
      <c r="G8" s="219"/>
      <c r="H8" s="218"/>
      <c r="I8" s="219"/>
      <c r="J8" s="136"/>
    </row>
    <row r="9" spans="1:10" ht="12.75">
      <c r="A9" s="452"/>
      <c r="B9" s="409"/>
      <c r="C9" s="218"/>
      <c r="D9" s="452"/>
      <c r="E9" s="409"/>
      <c r="F9" s="218"/>
      <c r="G9" s="219"/>
      <c r="H9" s="218"/>
      <c r="I9" s="219"/>
      <c r="J9" s="136"/>
    </row>
    <row r="10" spans="1:10" ht="12.75">
      <c r="A10" s="452"/>
      <c r="B10" s="409"/>
      <c r="C10" s="218"/>
      <c r="D10" s="452"/>
      <c r="E10" s="409"/>
      <c r="F10" s="218"/>
      <c r="G10" s="219"/>
      <c r="H10" s="218"/>
      <c r="I10" s="219"/>
      <c r="J10" s="136"/>
    </row>
    <row r="11" spans="1:10" ht="12.75">
      <c r="A11" s="452"/>
      <c r="B11" s="409"/>
      <c r="C11" s="218"/>
      <c r="D11" s="452"/>
      <c r="E11" s="409"/>
      <c r="F11" s="218"/>
      <c r="G11" s="219"/>
      <c r="H11" s="218"/>
      <c r="I11" s="219"/>
      <c r="J11" s="136"/>
    </row>
    <row r="12" spans="1:10" ht="13.5">
      <c r="A12" s="464"/>
      <c r="B12" s="409"/>
      <c r="C12" s="218"/>
      <c r="D12" s="452"/>
      <c r="E12" s="409"/>
      <c r="F12" s="218"/>
      <c r="G12" s="219"/>
      <c r="H12" s="218"/>
      <c r="I12" s="219"/>
      <c r="J12" s="136"/>
    </row>
    <row r="13" spans="1:10" ht="12.75">
      <c r="A13" s="452"/>
      <c r="B13" s="409"/>
      <c r="C13" s="218"/>
      <c r="D13" s="452"/>
      <c r="E13" s="409"/>
      <c r="F13" s="218"/>
      <c r="G13" s="219"/>
      <c r="H13" s="218"/>
      <c r="I13" s="219"/>
      <c r="J13" s="136"/>
    </row>
    <row r="14" spans="1:10" ht="12.75">
      <c r="A14" s="452"/>
      <c r="B14" s="409"/>
      <c r="C14" s="218"/>
      <c r="D14" s="452"/>
      <c r="E14" s="409"/>
      <c r="F14" s="218"/>
      <c r="G14" s="219"/>
      <c r="H14" s="218"/>
      <c r="I14" s="219"/>
      <c r="J14" s="136"/>
    </row>
    <row r="15" spans="1:10" ht="12.75">
      <c r="A15" s="452"/>
      <c r="B15" s="409"/>
      <c r="C15" s="218"/>
      <c r="D15" s="452"/>
      <c r="E15" s="409"/>
      <c r="F15" s="218"/>
      <c r="G15" s="219"/>
      <c r="H15" s="218"/>
      <c r="I15" s="219"/>
      <c r="J15" s="136"/>
    </row>
    <row r="16" spans="1:10" ht="12.75">
      <c r="A16" s="452"/>
      <c r="B16" s="409"/>
      <c r="C16" s="218"/>
      <c r="D16" s="452"/>
      <c r="E16" s="409"/>
      <c r="F16" s="218"/>
      <c r="G16" s="219"/>
      <c r="H16" s="218"/>
      <c r="I16" s="219"/>
      <c r="J16" s="136"/>
    </row>
    <row r="17" spans="1:10" ht="12.75">
      <c r="A17" s="452"/>
      <c r="B17" s="409"/>
      <c r="C17" s="218"/>
      <c r="D17" s="452"/>
      <c r="E17" s="409"/>
      <c r="F17" s="218"/>
      <c r="G17" s="219"/>
      <c r="H17" s="218"/>
      <c r="I17" s="219"/>
      <c r="J17" s="136"/>
    </row>
    <row r="18" spans="1:10" ht="12.75">
      <c r="A18" s="452"/>
      <c r="B18" s="409"/>
      <c r="C18" s="218"/>
      <c r="D18" s="452"/>
      <c r="E18" s="409"/>
      <c r="F18" s="218"/>
      <c r="G18" s="219"/>
      <c r="H18" s="218"/>
      <c r="I18" s="219"/>
      <c r="J18" s="136"/>
    </row>
    <row r="19" spans="1:10" ht="12.75">
      <c r="A19" s="452"/>
      <c r="B19" s="409"/>
      <c r="C19" s="218"/>
      <c r="D19" s="452"/>
      <c r="E19" s="409"/>
      <c r="F19" s="218"/>
      <c r="G19" s="219"/>
      <c r="H19" s="218"/>
      <c r="I19" s="219"/>
      <c r="J19" s="136"/>
    </row>
    <row r="20" spans="1:10" ht="12.75">
      <c r="A20" s="452"/>
      <c r="B20" s="409"/>
      <c r="C20" s="218"/>
      <c r="D20" s="452"/>
      <c r="E20" s="409"/>
      <c r="F20" s="218"/>
      <c r="G20" s="219"/>
      <c r="H20" s="218"/>
      <c r="I20" s="219"/>
      <c r="J20" s="136"/>
    </row>
    <row r="21" spans="1:10" ht="12.75">
      <c r="A21" s="452"/>
      <c r="B21" s="409"/>
      <c r="C21" s="218"/>
      <c r="D21" s="452"/>
      <c r="E21" s="409"/>
      <c r="F21" s="218"/>
      <c r="G21" s="219"/>
      <c r="H21" s="218"/>
      <c r="I21" s="219"/>
      <c r="J21" s="136"/>
    </row>
    <row r="22" spans="1:10" ht="12.75">
      <c r="A22" s="452"/>
      <c r="B22" s="409"/>
      <c r="C22" s="218"/>
      <c r="D22" s="452"/>
      <c r="E22" s="409"/>
      <c r="F22" s="218"/>
      <c r="G22" s="219"/>
      <c r="H22" s="218"/>
      <c r="I22" s="219"/>
      <c r="J22" s="136"/>
    </row>
    <row r="23" spans="1:10" ht="12.75">
      <c r="A23" s="452"/>
      <c r="B23" s="409"/>
      <c r="C23" s="218"/>
      <c r="D23" s="452"/>
      <c r="E23" s="409"/>
      <c r="F23" s="218"/>
      <c r="G23" s="219"/>
      <c r="H23" s="218"/>
      <c r="I23" s="219"/>
      <c r="J23" s="136"/>
    </row>
    <row r="24" spans="1:10" ht="12.75">
      <c r="A24" s="452"/>
      <c r="B24" s="409"/>
      <c r="C24" s="218"/>
      <c r="D24" s="452"/>
      <c r="E24" s="409"/>
      <c r="F24" s="218"/>
      <c r="G24" s="219"/>
      <c r="H24" s="218"/>
      <c r="I24" s="219"/>
      <c r="J24" s="136"/>
    </row>
    <row r="25" spans="1:10" ht="12.75">
      <c r="A25" s="452"/>
      <c r="B25" s="409"/>
      <c r="C25" s="218"/>
      <c r="D25" s="452"/>
      <c r="E25" s="409"/>
      <c r="F25" s="218"/>
      <c r="G25" s="219"/>
      <c r="H25" s="218"/>
      <c r="I25" s="219"/>
      <c r="J25" s="136"/>
    </row>
    <row r="26" spans="1:10" ht="15">
      <c r="A26" s="147"/>
      <c r="B26" s="220">
        <f>SUM(B6:B25)</f>
        <v>0</v>
      </c>
      <c r="C26" s="220"/>
      <c r="D26" s="220"/>
      <c r="E26" s="220">
        <f>SUM(E7:E25)</f>
        <v>0</v>
      </c>
      <c r="F26" s="220"/>
      <c r="G26" s="453">
        <v>0</v>
      </c>
      <c r="H26" s="218"/>
      <c r="I26" s="221">
        <f>(G26+E26)-B26</f>
        <v>0</v>
      </c>
      <c r="J26" s="136"/>
    </row>
    <row r="28" spans="1:10" ht="12.75">
      <c r="A28" s="174" t="s">
        <v>167</v>
      </c>
      <c r="B28" s="170"/>
      <c r="C28" s="170"/>
      <c r="D28" s="169"/>
      <c r="E28" s="171"/>
      <c r="F28" s="171"/>
      <c r="G28" s="171"/>
      <c r="H28" s="170"/>
      <c r="I28" s="170"/>
      <c r="J28" s="170"/>
    </row>
    <row r="29" spans="1:10" ht="12.75">
      <c r="A29" s="169" t="s">
        <v>165</v>
      </c>
      <c r="B29" s="170"/>
      <c r="C29" s="170"/>
      <c r="D29" s="169"/>
      <c r="E29" s="171"/>
      <c r="F29" s="171"/>
      <c r="G29" s="171"/>
      <c r="H29" s="170"/>
      <c r="I29" s="170"/>
      <c r="J29" s="170"/>
    </row>
    <row r="30" spans="1:10" ht="12.75">
      <c r="A30" s="169" t="s">
        <v>166</v>
      </c>
      <c r="B30" s="170"/>
      <c r="C30" s="170"/>
      <c r="D30" s="169"/>
      <c r="E30" s="171"/>
      <c r="F30" s="171"/>
      <c r="G30" s="171"/>
      <c r="H30" s="170"/>
      <c r="I30" s="170"/>
      <c r="J30" s="170"/>
    </row>
    <row r="31" ht="12.75">
      <c r="B31"/>
    </row>
    <row r="32" spans="1:2" ht="12.75">
      <c r="A32" s="496" t="s">
        <v>294</v>
      </c>
      <c r="B32"/>
    </row>
    <row r="33" ht="12.75">
      <c r="A33" s="496" t="s">
        <v>295</v>
      </c>
    </row>
    <row r="34" ht="12.75">
      <c r="A34" s="496" t="s">
        <v>296</v>
      </c>
    </row>
    <row r="35" ht="12.75">
      <c r="A35" s="496" t="s">
        <v>318</v>
      </c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210"/>
  <sheetViews>
    <sheetView workbookViewId="0" topLeftCell="A1">
      <pane ySplit="2" topLeftCell="BM155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3.8515625" style="0" customWidth="1"/>
    <col min="2" max="2" width="4.57421875" style="1" bestFit="1" customWidth="1"/>
    <col min="3" max="3" width="10.140625" style="6" bestFit="1" customWidth="1"/>
    <col min="4" max="4" width="22.421875" style="482" customWidth="1"/>
    <col min="5" max="5" width="11.28125" style="509" customWidth="1"/>
    <col min="6" max="6" width="20.8515625" style="481" bestFit="1" customWidth="1"/>
    <col min="7" max="7" width="3.7109375" style="0" customWidth="1"/>
  </cols>
  <sheetData>
    <row r="1" spans="1:7" s="51" customFormat="1" ht="17.25">
      <c r="A1" s="278"/>
      <c r="B1" s="513" t="s">
        <v>4</v>
      </c>
      <c r="C1" s="514"/>
      <c r="D1" s="515"/>
      <c r="E1" s="507"/>
      <c r="F1" s="488">
        <f>SUM(F3:F519)</f>
        <v>24392</v>
      </c>
      <c r="G1" s="278"/>
    </row>
    <row r="2" spans="1:7" s="493" customFormat="1" ht="12.75">
      <c r="A2" s="489"/>
      <c r="B2" s="490" t="s">
        <v>261</v>
      </c>
      <c r="C2" s="499" t="s">
        <v>1</v>
      </c>
      <c r="D2" s="491" t="s">
        <v>2</v>
      </c>
      <c r="E2" s="491" t="s">
        <v>63</v>
      </c>
      <c r="F2" s="492" t="s">
        <v>3</v>
      </c>
      <c r="G2" s="489"/>
    </row>
    <row r="3" spans="1:7" ht="12.75">
      <c r="A3" s="136"/>
      <c r="B3" s="487">
        <v>1</v>
      </c>
      <c r="C3" s="500">
        <v>39240</v>
      </c>
      <c r="D3" s="484" t="s">
        <v>87</v>
      </c>
      <c r="E3" s="508" t="s">
        <v>300</v>
      </c>
      <c r="F3" s="485">
        <v>35</v>
      </c>
      <c r="G3" s="136"/>
    </row>
    <row r="4" spans="1:7" ht="12.75">
      <c r="A4" s="136"/>
      <c r="B4" s="483">
        <v>2</v>
      </c>
      <c r="C4" s="500">
        <v>39240</v>
      </c>
      <c r="D4" s="484" t="s">
        <v>87</v>
      </c>
      <c r="E4" s="508" t="s">
        <v>299</v>
      </c>
      <c r="F4" s="485">
        <v>70</v>
      </c>
      <c r="G4" s="136"/>
    </row>
    <row r="5" spans="1:7" ht="12.75">
      <c r="A5" s="136"/>
      <c r="B5" s="483">
        <v>3</v>
      </c>
      <c r="C5" s="501">
        <v>39244</v>
      </c>
      <c r="D5" s="484" t="s">
        <v>289</v>
      </c>
      <c r="E5" s="508" t="s">
        <v>319</v>
      </c>
      <c r="F5" s="485">
        <v>140</v>
      </c>
      <c r="G5" s="136"/>
    </row>
    <row r="6" spans="1:7" ht="12.75">
      <c r="A6" s="136"/>
      <c r="B6" s="483">
        <v>4</v>
      </c>
      <c r="C6" s="501">
        <v>39244</v>
      </c>
      <c r="D6" s="484" t="s">
        <v>320</v>
      </c>
      <c r="E6" s="508" t="s">
        <v>321</v>
      </c>
      <c r="F6" s="485">
        <v>70</v>
      </c>
      <c r="G6" s="136"/>
    </row>
    <row r="7" spans="1:7" ht="12.75">
      <c r="A7" s="136"/>
      <c r="B7" s="483">
        <v>5</v>
      </c>
      <c r="C7" s="501">
        <v>39248</v>
      </c>
      <c r="D7" s="484" t="s">
        <v>80</v>
      </c>
      <c r="E7" s="508" t="s">
        <v>323</v>
      </c>
      <c r="F7" s="485">
        <v>130</v>
      </c>
      <c r="G7" s="136"/>
    </row>
    <row r="8" spans="1:7" ht="12.75">
      <c r="A8" s="136"/>
      <c r="B8" s="483">
        <v>6</v>
      </c>
      <c r="C8" s="501">
        <v>39251</v>
      </c>
      <c r="D8" s="484" t="s">
        <v>324</v>
      </c>
      <c r="E8" s="508" t="s">
        <v>325</v>
      </c>
      <c r="F8" s="485">
        <v>140</v>
      </c>
      <c r="G8" s="136"/>
    </row>
    <row r="9" spans="1:7" ht="12.75">
      <c r="A9" s="136"/>
      <c r="B9" s="483">
        <v>7</v>
      </c>
      <c r="C9" s="501">
        <v>39251</v>
      </c>
      <c r="D9" s="484" t="s">
        <v>328</v>
      </c>
      <c r="E9" s="508" t="s">
        <v>329</v>
      </c>
      <c r="F9" s="485">
        <v>140</v>
      </c>
      <c r="G9" s="136"/>
    </row>
    <row r="10" spans="1:7" ht="12.75">
      <c r="A10" s="136"/>
      <c r="B10" s="483">
        <v>8</v>
      </c>
      <c r="C10" s="501">
        <v>39259</v>
      </c>
      <c r="D10" s="484" t="s">
        <v>83</v>
      </c>
      <c r="E10" s="508" t="s">
        <v>336</v>
      </c>
      <c r="F10" s="485">
        <v>140</v>
      </c>
      <c r="G10" s="136"/>
    </row>
    <row r="11" spans="1:7" ht="12.75">
      <c r="A11" s="136"/>
      <c r="B11" s="483">
        <v>9</v>
      </c>
      <c r="C11" s="501">
        <v>39265</v>
      </c>
      <c r="D11" s="484" t="s">
        <v>82</v>
      </c>
      <c r="E11" s="508" t="s">
        <v>340</v>
      </c>
      <c r="F11" s="485">
        <v>140</v>
      </c>
      <c r="G11" s="136"/>
    </row>
    <row r="12" spans="1:7" ht="12.75">
      <c r="A12" s="136"/>
      <c r="B12" s="483">
        <v>10</v>
      </c>
      <c r="C12" s="501">
        <v>39268</v>
      </c>
      <c r="D12" s="484" t="s">
        <v>342</v>
      </c>
      <c r="E12" s="508" t="s">
        <v>343</v>
      </c>
      <c r="F12" s="485">
        <v>40</v>
      </c>
      <c r="G12" s="136"/>
    </row>
    <row r="13" spans="1:7" ht="12.75">
      <c r="A13" s="136"/>
      <c r="B13" s="483">
        <v>11</v>
      </c>
      <c r="C13" s="501">
        <v>39269</v>
      </c>
      <c r="D13" s="484" t="s">
        <v>344</v>
      </c>
      <c r="E13" s="508" t="s">
        <v>345</v>
      </c>
      <c r="F13" s="485">
        <v>140</v>
      </c>
      <c r="G13" s="136"/>
    </row>
    <row r="14" spans="1:7" ht="12.75">
      <c r="A14" s="136"/>
      <c r="B14" s="483">
        <v>12</v>
      </c>
      <c r="C14" s="452">
        <v>39272</v>
      </c>
      <c r="D14" s="484" t="s">
        <v>87</v>
      </c>
      <c r="E14" s="508" t="s">
        <v>299</v>
      </c>
      <c r="F14" s="486">
        <v>75</v>
      </c>
      <c r="G14" s="136"/>
    </row>
    <row r="15" spans="1:7" ht="12.75">
      <c r="A15" s="136"/>
      <c r="B15" s="483">
        <v>13</v>
      </c>
      <c r="C15" s="452">
        <v>39272</v>
      </c>
      <c r="D15" s="484" t="s">
        <v>87</v>
      </c>
      <c r="E15" s="508" t="s">
        <v>300</v>
      </c>
      <c r="F15" s="485">
        <v>40</v>
      </c>
      <c r="G15" s="136"/>
    </row>
    <row r="16" spans="1:7" ht="12.75">
      <c r="A16" s="136"/>
      <c r="B16" s="483">
        <v>14</v>
      </c>
      <c r="C16" s="452">
        <v>39272</v>
      </c>
      <c r="D16" s="484" t="s">
        <v>324</v>
      </c>
      <c r="E16" s="508" t="s">
        <v>325</v>
      </c>
      <c r="F16" s="485">
        <v>150</v>
      </c>
      <c r="G16" s="136"/>
    </row>
    <row r="17" spans="1:7" ht="12.75">
      <c r="A17" s="136"/>
      <c r="B17" s="483">
        <v>15</v>
      </c>
      <c r="C17" s="501">
        <v>39280</v>
      </c>
      <c r="D17" s="484" t="s">
        <v>320</v>
      </c>
      <c r="E17" s="508" t="s">
        <v>321</v>
      </c>
      <c r="F17" s="485">
        <v>40</v>
      </c>
      <c r="G17" s="136"/>
    </row>
    <row r="18" spans="1:7" ht="12.75">
      <c r="A18" s="136"/>
      <c r="B18" s="483">
        <v>16</v>
      </c>
      <c r="C18" s="501">
        <v>39280</v>
      </c>
      <c r="D18" s="484" t="s">
        <v>81</v>
      </c>
      <c r="E18" s="508" t="s">
        <v>351</v>
      </c>
      <c r="F18" s="485">
        <v>140</v>
      </c>
      <c r="G18" s="136"/>
    </row>
    <row r="19" spans="1:7" ht="12.75">
      <c r="A19" s="136"/>
      <c r="B19" s="483">
        <v>17</v>
      </c>
      <c r="C19" s="501">
        <v>39280</v>
      </c>
      <c r="D19" s="484" t="s">
        <v>289</v>
      </c>
      <c r="E19" s="508" t="s">
        <v>319</v>
      </c>
      <c r="F19" s="485">
        <v>150</v>
      </c>
      <c r="G19" s="136"/>
    </row>
    <row r="20" spans="1:7" ht="12.75">
      <c r="A20" s="136"/>
      <c r="B20" s="483">
        <v>18</v>
      </c>
      <c r="C20" s="501">
        <v>39287</v>
      </c>
      <c r="D20" s="484" t="s">
        <v>269</v>
      </c>
      <c r="E20" s="508" t="s">
        <v>355</v>
      </c>
      <c r="F20" s="485">
        <v>140</v>
      </c>
      <c r="G20" s="136"/>
    </row>
    <row r="21" spans="1:7" ht="12.75">
      <c r="A21" s="136"/>
      <c r="B21" s="483">
        <v>19</v>
      </c>
      <c r="C21" s="501">
        <v>39287</v>
      </c>
      <c r="D21" s="484" t="s">
        <v>356</v>
      </c>
      <c r="E21" s="508" t="s">
        <v>357</v>
      </c>
      <c r="F21" s="485">
        <v>140</v>
      </c>
      <c r="G21" s="136"/>
    </row>
    <row r="22" spans="1:7" ht="12.75">
      <c r="A22" s="136"/>
      <c r="B22" s="483">
        <v>20</v>
      </c>
      <c r="C22" s="501">
        <v>39295</v>
      </c>
      <c r="D22" s="484" t="s">
        <v>86</v>
      </c>
      <c r="E22" s="508" t="s">
        <v>362</v>
      </c>
      <c r="F22" s="485">
        <v>270</v>
      </c>
      <c r="G22" s="136"/>
    </row>
    <row r="23" spans="1:7" ht="12.75">
      <c r="A23" s="136"/>
      <c r="B23" s="483">
        <v>21</v>
      </c>
      <c r="C23" s="501">
        <v>39295</v>
      </c>
      <c r="D23" s="484" t="s">
        <v>82</v>
      </c>
      <c r="E23" s="508" t="s">
        <v>340</v>
      </c>
      <c r="F23" s="485">
        <v>140</v>
      </c>
      <c r="G23" s="136"/>
    </row>
    <row r="24" spans="1:7" ht="12.75">
      <c r="A24" s="136"/>
      <c r="B24" s="483">
        <v>22</v>
      </c>
      <c r="C24" s="501">
        <v>39297</v>
      </c>
      <c r="D24" s="484" t="s">
        <v>344</v>
      </c>
      <c r="E24" s="508" t="s">
        <v>345</v>
      </c>
      <c r="F24" s="485">
        <v>140</v>
      </c>
      <c r="G24" s="136"/>
    </row>
    <row r="25" spans="1:7" ht="12.75">
      <c r="A25" s="136"/>
      <c r="B25" s="483">
        <v>23</v>
      </c>
      <c r="C25" s="501">
        <v>39297</v>
      </c>
      <c r="D25" s="484" t="s">
        <v>289</v>
      </c>
      <c r="E25" s="508" t="s">
        <v>319</v>
      </c>
      <c r="F25" s="485">
        <v>150</v>
      </c>
      <c r="G25" s="136"/>
    </row>
    <row r="26" spans="1:7" ht="12.75">
      <c r="A26" s="136"/>
      <c r="B26" s="483">
        <v>24</v>
      </c>
      <c r="C26" s="501">
        <v>39299</v>
      </c>
      <c r="D26" s="484" t="s">
        <v>87</v>
      </c>
      <c r="E26" s="508" t="s">
        <v>299</v>
      </c>
      <c r="F26" s="486">
        <v>75</v>
      </c>
      <c r="G26" s="136"/>
    </row>
    <row r="27" spans="1:7" ht="12.75">
      <c r="A27" s="136"/>
      <c r="B27" s="483">
        <v>25</v>
      </c>
      <c r="C27" s="501">
        <v>39299</v>
      </c>
      <c r="D27" s="484" t="s">
        <v>87</v>
      </c>
      <c r="E27" s="508" t="s">
        <v>300</v>
      </c>
      <c r="F27" s="485">
        <v>40</v>
      </c>
      <c r="G27" s="218"/>
    </row>
    <row r="28" spans="1:7" ht="12.75">
      <c r="A28" s="136"/>
      <c r="B28" s="483">
        <v>26</v>
      </c>
      <c r="C28" s="501">
        <v>39302</v>
      </c>
      <c r="D28" s="484" t="s">
        <v>81</v>
      </c>
      <c r="E28" s="508" t="s">
        <v>351</v>
      </c>
      <c r="F28" s="485">
        <v>140</v>
      </c>
      <c r="G28" s="136"/>
    </row>
    <row r="29" spans="1:7" ht="12.75">
      <c r="A29" s="136"/>
      <c r="B29" s="483">
        <v>27</v>
      </c>
      <c r="C29" s="501">
        <v>39307</v>
      </c>
      <c r="D29" s="484" t="s">
        <v>324</v>
      </c>
      <c r="E29" s="508" t="s">
        <v>325</v>
      </c>
      <c r="F29" s="485">
        <v>150</v>
      </c>
      <c r="G29" s="136"/>
    </row>
    <row r="30" spans="1:7" ht="12.75">
      <c r="A30" s="136"/>
      <c r="B30" s="483">
        <v>28</v>
      </c>
      <c r="C30" s="501">
        <v>39311</v>
      </c>
      <c r="D30" s="484" t="s">
        <v>376</v>
      </c>
      <c r="E30" s="508" t="s">
        <v>377</v>
      </c>
      <c r="F30" s="485">
        <v>300</v>
      </c>
      <c r="G30" s="136"/>
    </row>
    <row r="31" spans="1:7" ht="12.75">
      <c r="A31" s="136"/>
      <c r="B31" s="483">
        <v>29</v>
      </c>
      <c r="C31" s="501">
        <v>39311</v>
      </c>
      <c r="D31" s="484" t="s">
        <v>84</v>
      </c>
      <c r="E31" s="508" t="s">
        <v>379</v>
      </c>
      <c r="F31" s="485">
        <v>860</v>
      </c>
      <c r="G31" s="136"/>
    </row>
    <row r="32" spans="1:7" ht="12.75">
      <c r="A32" s="136"/>
      <c r="B32" s="483">
        <v>30</v>
      </c>
      <c r="C32" s="501">
        <v>39315</v>
      </c>
      <c r="D32" s="484" t="s">
        <v>86</v>
      </c>
      <c r="E32" s="508" t="s">
        <v>362</v>
      </c>
      <c r="F32" s="485">
        <v>140</v>
      </c>
      <c r="G32" s="136"/>
    </row>
    <row r="33" spans="1:7" ht="12.75">
      <c r="A33" s="136"/>
      <c r="B33" s="483">
        <v>31</v>
      </c>
      <c r="C33" s="501">
        <v>39323</v>
      </c>
      <c r="D33" s="484" t="s">
        <v>83</v>
      </c>
      <c r="E33" s="508" t="s">
        <v>336</v>
      </c>
      <c r="F33" s="485">
        <v>150</v>
      </c>
      <c r="G33" s="136"/>
    </row>
    <row r="34" spans="1:7" ht="12.75">
      <c r="A34" s="136"/>
      <c r="B34" s="483">
        <v>32</v>
      </c>
      <c r="C34" s="501">
        <v>39325</v>
      </c>
      <c r="D34" s="484" t="s">
        <v>83</v>
      </c>
      <c r="E34" s="508" t="s">
        <v>336</v>
      </c>
      <c r="F34" s="485">
        <v>150</v>
      </c>
      <c r="G34" s="136"/>
    </row>
    <row r="35" spans="1:7" ht="12.75">
      <c r="A35" s="136"/>
      <c r="B35" s="483">
        <v>33</v>
      </c>
      <c r="C35" s="501">
        <v>39326</v>
      </c>
      <c r="D35" s="484" t="s">
        <v>87</v>
      </c>
      <c r="E35" s="508" t="s">
        <v>299</v>
      </c>
      <c r="F35" s="486">
        <v>75</v>
      </c>
      <c r="G35" s="136"/>
    </row>
    <row r="36" spans="1:7" ht="12.75">
      <c r="A36" s="136"/>
      <c r="B36" s="483">
        <v>34</v>
      </c>
      <c r="C36" s="501">
        <v>39326</v>
      </c>
      <c r="D36" s="484" t="s">
        <v>87</v>
      </c>
      <c r="E36" s="508" t="s">
        <v>300</v>
      </c>
      <c r="F36" s="485">
        <v>40</v>
      </c>
      <c r="G36" s="136"/>
    </row>
    <row r="37" spans="1:7" ht="12.75">
      <c r="A37" s="136"/>
      <c r="B37" s="483">
        <v>35</v>
      </c>
      <c r="C37" s="501">
        <v>39328</v>
      </c>
      <c r="D37" s="484" t="s">
        <v>82</v>
      </c>
      <c r="E37" s="508" t="s">
        <v>340</v>
      </c>
      <c r="F37" s="485">
        <v>140</v>
      </c>
      <c r="G37" s="136"/>
    </row>
    <row r="38" spans="1:7" ht="12.75">
      <c r="A38" s="136"/>
      <c r="B38" s="483">
        <v>36</v>
      </c>
      <c r="C38" s="501">
        <v>39329</v>
      </c>
      <c r="D38" s="484" t="s">
        <v>320</v>
      </c>
      <c r="E38" s="508" t="s">
        <v>321</v>
      </c>
      <c r="F38" s="485">
        <v>80</v>
      </c>
      <c r="G38" s="136"/>
    </row>
    <row r="39" spans="1:7" ht="12.75">
      <c r="A39" s="136"/>
      <c r="B39" s="483">
        <v>37</v>
      </c>
      <c r="C39" s="501">
        <v>39329</v>
      </c>
      <c r="D39" s="484" t="s">
        <v>344</v>
      </c>
      <c r="E39" s="508" t="s">
        <v>345</v>
      </c>
      <c r="F39" s="485">
        <v>140</v>
      </c>
      <c r="G39" s="136"/>
    </row>
    <row r="40" spans="1:7" ht="12.75">
      <c r="A40" s="136"/>
      <c r="B40" s="483">
        <v>38</v>
      </c>
      <c r="C40" s="501">
        <v>39331</v>
      </c>
      <c r="D40" s="484" t="s">
        <v>289</v>
      </c>
      <c r="E40" s="508" t="s">
        <v>319</v>
      </c>
      <c r="F40" s="485">
        <v>150</v>
      </c>
      <c r="G40" s="136"/>
    </row>
    <row r="41" spans="1:7" ht="12.75">
      <c r="A41" s="136"/>
      <c r="B41" s="483">
        <v>39</v>
      </c>
      <c r="C41" s="501">
        <v>39331</v>
      </c>
      <c r="D41" s="484" t="s">
        <v>269</v>
      </c>
      <c r="E41" s="508" t="s">
        <v>355</v>
      </c>
      <c r="F41" s="485">
        <v>140</v>
      </c>
      <c r="G41" s="136"/>
    </row>
    <row r="42" spans="1:7" ht="12.75">
      <c r="A42" s="136"/>
      <c r="B42" s="483">
        <v>40</v>
      </c>
      <c r="C42" s="501">
        <v>39335</v>
      </c>
      <c r="D42" s="484" t="s">
        <v>81</v>
      </c>
      <c r="E42" s="508" t="s">
        <v>351</v>
      </c>
      <c r="F42" s="485">
        <v>140</v>
      </c>
      <c r="G42" s="136"/>
    </row>
    <row r="43" spans="1:7" ht="12.75">
      <c r="A43" s="136"/>
      <c r="B43" s="483">
        <v>41</v>
      </c>
      <c r="C43" s="501">
        <v>39337</v>
      </c>
      <c r="D43" s="484" t="s">
        <v>376</v>
      </c>
      <c r="E43" s="508" t="s">
        <v>377</v>
      </c>
      <c r="F43" s="485">
        <v>150</v>
      </c>
      <c r="G43" s="136"/>
    </row>
    <row r="44" spans="1:7" ht="12.75">
      <c r="A44" s="136"/>
      <c r="B44" s="483">
        <v>42</v>
      </c>
      <c r="C44" s="501">
        <v>39345</v>
      </c>
      <c r="D44" s="484" t="s">
        <v>86</v>
      </c>
      <c r="E44" s="508" t="s">
        <v>362</v>
      </c>
      <c r="F44" s="485">
        <v>140</v>
      </c>
      <c r="G44" s="136"/>
    </row>
    <row r="45" spans="1:7" ht="12.75">
      <c r="A45" s="136"/>
      <c r="B45" s="483">
        <v>43</v>
      </c>
      <c r="C45" s="501">
        <v>39349</v>
      </c>
      <c r="D45" s="484" t="s">
        <v>356</v>
      </c>
      <c r="E45" s="508" t="s">
        <v>357</v>
      </c>
      <c r="F45" s="485">
        <v>140</v>
      </c>
      <c r="G45" s="136"/>
    </row>
    <row r="46" spans="1:7" ht="12.75">
      <c r="A46" s="136"/>
      <c r="B46" s="483">
        <v>44</v>
      </c>
      <c r="C46" s="501">
        <v>39350</v>
      </c>
      <c r="D46" s="484" t="s">
        <v>356</v>
      </c>
      <c r="E46" s="508" t="s">
        <v>357</v>
      </c>
      <c r="F46" s="485">
        <v>100</v>
      </c>
      <c r="G46" s="136"/>
    </row>
    <row r="47" spans="1:7" ht="12.75">
      <c r="A47" s="136"/>
      <c r="B47" s="483">
        <v>45</v>
      </c>
      <c r="C47" s="501">
        <v>39352</v>
      </c>
      <c r="D47" s="484" t="s">
        <v>409</v>
      </c>
      <c r="E47" s="508" t="s">
        <v>410</v>
      </c>
      <c r="F47" s="485">
        <v>335</v>
      </c>
      <c r="G47" s="136"/>
    </row>
    <row r="48" spans="1:7" ht="12.75">
      <c r="A48" s="136"/>
      <c r="B48" s="483">
        <v>46</v>
      </c>
      <c r="C48" s="501">
        <v>39353</v>
      </c>
      <c r="D48" s="484" t="s">
        <v>83</v>
      </c>
      <c r="E48" s="508" t="s">
        <v>336</v>
      </c>
      <c r="F48" s="485">
        <v>150</v>
      </c>
      <c r="G48" s="136"/>
    </row>
    <row r="49" spans="1:7" ht="12.75">
      <c r="A49" s="136"/>
      <c r="B49" s="483">
        <v>47</v>
      </c>
      <c r="C49" s="501">
        <v>39354</v>
      </c>
      <c r="D49" s="484" t="s">
        <v>298</v>
      </c>
      <c r="E49" s="508" t="s">
        <v>325</v>
      </c>
      <c r="F49" s="485">
        <v>150</v>
      </c>
      <c r="G49" s="136"/>
    </row>
    <row r="50" spans="1:7" ht="12.75">
      <c r="A50" s="136"/>
      <c r="B50" s="483">
        <v>48</v>
      </c>
      <c r="C50" s="501">
        <v>39354</v>
      </c>
      <c r="D50" s="484" t="s">
        <v>298</v>
      </c>
      <c r="E50" s="508" t="s">
        <v>413</v>
      </c>
      <c r="F50" s="485">
        <v>320</v>
      </c>
      <c r="G50" s="136"/>
    </row>
    <row r="51" spans="1:7" ht="12.75">
      <c r="A51" s="136"/>
      <c r="B51" s="483">
        <v>49</v>
      </c>
      <c r="C51" s="501">
        <v>39356</v>
      </c>
      <c r="D51" s="484" t="s">
        <v>82</v>
      </c>
      <c r="E51" s="508" t="s">
        <v>340</v>
      </c>
      <c r="F51" s="485">
        <v>140</v>
      </c>
      <c r="G51" s="136"/>
    </row>
    <row r="52" spans="1:7" ht="12.75">
      <c r="A52" s="136"/>
      <c r="B52" s="483">
        <v>50</v>
      </c>
      <c r="C52" s="501">
        <v>39356</v>
      </c>
      <c r="D52" s="484" t="s">
        <v>87</v>
      </c>
      <c r="E52" s="508" t="s">
        <v>299</v>
      </c>
      <c r="F52" s="486">
        <v>75</v>
      </c>
      <c r="G52" s="218"/>
    </row>
    <row r="53" spans="1:7" ht="12.75">
      <c r="A53" s="136"/>
      <c r="B53" s="483">
        <v>51</v>
      </c>
      <c r="C53" s="501">
        <v>39356</v>
      </c>
      <c r="D53" s="484" t="s">
        <v>87</v>
      </c>
      <c r="E53" s="508" t="s">
        <v>300</v>
      </c>
      <c r="F53" s="485">
        <v>40</v>
      </c>
      <c r="G53" s="136"/>
    </row>
    <row r="54" spans="1:7" ht="12.75">
      <c r="A54" s="136"/>
      <c r="B54" s="483">
        <v>52</v>
      </c>
      <c r="C54" s="501">
        <v>39358</v>
      </c>
      <c r="D54" s="484" t="s">
        <v>344</v>
      </c>
      <c r="E54" s="508" t="s">
        <v>345</v>
      </c>
      <c r="F54" s="485">
        <v>140</v>
      </c>
      <c r="G54" s="136"/>
    </row>
    <row r="55" spans="1:7" ht="12.75">
      <c r="A55" s="136"/>
      <c r="B55" s="483">
        <v>53</v>
      </c>
      <c r="C55" s="501">
        <v>39358</v>
      </c>
      <c r="D55" s="484" t="s">
        <v>376</v>
      </c>
      <c r="E55" s="508" t="s">
        <v>377</v>
      </c>
      <c r="F55" s="485">
        <v>150</v>
      </c>
      <c r="G55" s="136"/>
    </row>
    <row r="56" spans="1:7" ht="12.75">
      <c r="A56" s="136"/>
      <c r="B56" s="483">
        <v>54</v>
      </c>
      <c r="C56" s="501">
        <v>39359</v>
      </c>
      <c r="D56" s="484" t="s">
        <v>80</v>
      </c>
      <c r="E56" s="508" t="s">
        <v>323</v>
      </c>
      <c r="F56" s="485">
        <v>560</v>
      </c>
      <c r="G56" s="136"/>
    </row>
    <row r="57" spans="1:7" ht="12.75">
      <c r="A57" s="136"/>
      <c r="B57" s="483">
        <v>55</v>
      </c>
      <c r="C57" s="501">
        <v>39360</v>
      </c>
      <c r="D57" s="484" t="s">
        <v>328</v>
      </c>
      <c r="E57" s="508" t="s">
        <v>329</v>
      </c>
      <c r="F57" s="485">
        <v>590</v>
      </c>
      <c r="G57" s="136"/>
    </row>
    <row r="58" spans="1:7" ht="12.75">
      <c r="A58" s="136"/>
      <c r="B58" s="483">
        <v>56</v>
      </c>
      <c r="C58" s="501">
        <v>39363</v>
      </c>
      <c r="D58" s="484" t="s">
        <v>298</v>
      </c>
      <c r="E58" s="508" t="s">
        <v>325</v>
      </c>
      <c r="F58" s="485">
        <v>150</v>
      </c>
      <c r="G58" s="136"/>
    </row>
    <row r="59" spans="1:7" ht="12.75">
      <c r="A59" s="136"/>
      <c r="B59" s="483">
        <v>57</v>
      </c>
      <c r="C59" s="501">
        <v>39363</v>
      </c>
      <c r="D59" s="484" t="s">
        <v>81</v>
      </c>
      <c r="E59" s="508" t="s">
        <v>351</v>
      </c>
      <c r="F59" s="485">
        <v>140</v>
      </c>
      <c r="G59" s="136"/>
    </row>
    <row r="60" spans="1:7" ht="12.75">
      <c r="A60" s="136"/>
      <c r="B60" s="483">
        <v>58</v>
      </c>
      <c r="C60" s="501">
        <v>39363</v>
      </c>
      <c r="D60" s="484" t="s">
        <v>289</v>
      </c>
      <c r="E60" s="508" t="s">
        <v>319</v>
      </c>
      <c r="F60" s="485">
        <v>150</v>
      </c>
      <c r="G60" s="136"/>
    </row>
    <row r="61" spans="1:7" ht="12.75">
      <c r="A61" s="136"/>
      <c r="B61" s="483">
        <v>59</v>
      </c>
      <c r="C61" s="501">
        <v>39363</v>
      </c>
      <c r="D61" s="484" t="s">
        <v>86</v>
      </c>
      <c r="E61" s="508" t="s">
        <v>362</v>
      </c>
      <c r="F61" s="485">
        <v>140</v>
      </c>
      <c r="G61" s="136"/>
    </row>
    <row r="62" spans="1:7" ht="12.75">
      <c r="A62" s="136"/>
      <c r="B62" s="483">
        <v>60</v>
      </c>
      <c r="C62" s="501">
        <v>39365</v>
      </c>
      <c r="D62" s="484" t="s">
        <v>269</v>
      </c>
      <c r="E62" s="508" t="s">
        <v>355</v>
      </c>
      <c r="F62" s="485">
        <v>140</v>
      </c>
      <c r="G62" s="136"/>
    </row>
    <row r="63" spans="1:7" ht="12.75">
      <c r="A63" s="136"/>
      <c r="B63" s="483">
        <v>61</v>
      </c>
      <c r="C63" s="501">
        <v>39370</v>
      </c>
      <c r="D63" s="484" t="s">
        <v>298</v>
      </c>
      <c r="E63" s="508" t="s">
        <v>413</v>
      </c>
      <c r="F63" s="485">
        <v>40</v>
      </c>
      <c r="G63" s="136"/>
    </row>
    <row r="64" spans="1:7" ht="12.75">
      <c r="A64" s="136"/>
      <c r="B64" s="483">
        <v>62</v>
      </c>
      <c r="C64" s="501">
        <v>39371</v>
      </c>
      <c r="D64" s="484" t="s">
        <v>342</v>
      </c>
      <c r="E64" s="508" t="s">
        <v>343</v>
      </c>
      <c r="F64" s="485">
        <v>80</v>
      </c>
      <c r="G64" s="136"/>
    </row>
    <row r="65" spans="1:7" ht="12.75">
      <c r="A65" s="136"/>
      <c r="B65" s="483">
        <v>63</v>
      </c>
      <c r="C65" s="501">
        <v>39373</v>
      </c>
      <c r="D65" s="484" t="s">
        <v>320</v>
      </c>
      <c r="E65" s="508" t="s">
        <v>321</v>
      </c>
      <c r="F65" s="485">
        <v>40</v>
      </c>
      <c r="G65" s="136"/>
    </row>
    <row r="66" spans="1:7" ht="12.75">
      <c r="A66" s="136"/>
      <c r="B66" s="483">
        <v>64</v>
      </c>
      <c r="C66" s="501">
        <v>39373</v>
      </c>
      <c r="D66" s="484" t="s">
        <v>356</v>
      </c>
      <c r="E66" s="508" t="s">
        <v>357</v>
      </c>
      <c r="F66" s="485">
        <v>180</v>
      </c>
      <c r="G66" s="136"/>
    </row>
    <row r="67" spans="1:7" ht="12.75">
      <c r="A67" s="136"/>
      <c r="B67" s="483">
        <v>65</v>
      </c>
      <c r="C67" s="501">
        <v>39381</v>
      </c>
      <c r="D67" s="484" t="s">
        <v>342</v>
      </c>
      <c r="E67" s="508" t="s">
        <v>343</v>
      </c>
      <c r="F67" s="485">
        <v>40</v>
      </c>
      <c r="G67" s="136"/>
    </row>
    <row r="68" spans="1:7" ht="12.75">
      <c r="A68" s="136"/>
      <c r="B68" s="483">
        <v>66</v>
      </c>
      <c r="C68" s="501">
        <v>39385</v>
      </c>
      <c r="D68" s="484" t="s">
        <v>83</v>
      </c>
      <c r="E68" s="508" t="s">
        <v>336</v>
      </c>
      <c r="F68" s="485">
        <v>150</v>
      </c>
      <c r="G68" s="136"/>
    </row>
    <row r="69" spans="1:7" ht="12.75">
      <c r="A69" s="136"/>
      <c r="B69" s="483">
        <v>67</v>
      </c>
      <c r="C69" s="501">
        <v>39387</v>
      </c>
      <c r="D69" s="484" t="s">
        <v>82</v>
      </c>
      <c r="E69" s="508" t="s">
        <v>340</v>
      </c>
      <c r="F69" s="485">
        <v>140</v>
      </c>
      <c r="G69" s="136"/>
    </row>
    <row r="70" spans="1:7" ht="12.75">
      <c r="A70" s="136"/>
      <c r="B70" s="483">
        <v>68</v>
      </c>
      <c r="C70" s="501">
        <v>39391</v>
      </c>
      <c r="D70" s="484" t="s">
        <v>344</v>
      </c>
      <c r="E70" s="508" t="s">
        <v>345</v>
      </c>
      <c r="F70" s="485">
        <v>140</v>
      </c>
      <c r="G70" s="136"/>
    </row>
    <row r="71" spans="1:7" ht="12.75">
      <c r="A71" s="136"/>
      <c r="B71" s="483">
        <v>69</v>
      </c>
      <c r="C71" s="501">
        <v>39391</v>
      </c>
      <c r="D71" s="484" t="s">
        <v>376</v>
      </c>
      <c r="E71" s="508" t="s">
        <v>377</v>
      </c>
      <c r="F71" s="485">
        <v>150</v>
      </c>
      <c r="G71" s="136"/>
    </row>
    <row r="72" spans="1:7" ht="12.75">
      <c r="A72" s="136"/>
      <c r="B72" s="483">
        <v>70</v>
      </c>
      <c r="C72" s="501">
        <v>39394</v>
      </c>
      <c r="D72" s="484" t="s">
        <v>87</v>
      </c>
      <c r="E72" s="508" t="s">
        <v>299</v>
      </c>
      <c r="F72" s="486">
        <v>75</v>
      </c>
      <c r="G72" s="136"/>
    </row>
    <row r="73" spans="1:7" ht="12.75">
      <c r="A73" s="136"/>
      <c r="B73" s="483">
        <v>71</v>
      </c>
      <c r="C73" s="501">
        <v>39394</v>
      </c>
      <c r="D73" s="484" t="s">
        <v>87</v>
      </c>
      <c r="E73" s="508" t="s">
        <v>300</v>
      </c>
      <c r="F73" s="485">
        <v>40</v>
      </c>
      <c r="G73" s="136"/>
    </row>
    <row r="74" spans="1:7" ht="12.75">
      <c r="A74" s="136"/>
      <c r="B74" s="483">
        <v>72</v>
      </c>
      <c r="C74" s="501">
        <v>39394</v>
      </c>
      <c r="D74" s="484" t="s">
        <v>298</v>
      </c>
      <c r="E74" s="508" t="s">
        <v>325</v>
      </c>
      <c r="F74" s="485">
        <v>150</v>
      </c>
      <c r="G74" s="136"/>
    </row>
    <row r="75" spans="1:7" ht="12.75">
      <c r="A75" s="136"/>
      <c r="B75" s="483">
        <v>73</v>
      </c>
      <c r="C75" s="501">
        <v>39394</v>
      </c>
      <c r="D75" s="484" t="s">
        <v>298</v>
      </c>
      <c r="E75" s="508" t="s">
        <v>413</v>
      </c>
      <c r="F75" s="485">
        <v>40</v>
      </c>
      <c r="G75" s="136"/>
    </row>
    <row r="76" spans="1:7" ht="12.75">
      <c r="A76" s="136"/>
      <c r="B76" s="483">
        <v>74</v>
      </c>
      <c r="C76" s="501">
        <v>39395</v>
      </c>
      <c r="D76" s="484" t="s">
        <v>289</v>
      </c>
      <c r="E76" s="508" t="s">
        <v>319</v>
      </c>
      <c r="F76" s="485">
        <v>150</v>
      </c>
      <c r="G76" s="136"/>
    </row>
    <row r="77" spans="1:7" ht="12.75">
      <c r="A77" s="136"/>
      <c r="B77" s="483">
        <v>75</v>
      </c>
      <c r="C77" s="501">
        <v>39395</v>
      </c>
      <c r="D77" s="484" t="s">
        <v>342</v>
      </c>
      <c r="E77" s="508" t="s">
        <v>343</v>
      </c>
      <c r="F77" s="485">
        <v>40</v>
      </c>
      <c r="G77" s="136"/>
    </row>
    <row r="78" spans="1:7" ht="12.75">
      <c r="A78" s="136"/>
      <c r="B78" s="483">
        <v>76</v>
      </c>
      <c r="C78" s="501">
        <v>39409</v>
      </c>
      <c r="D78" s="484" t="s">
        <v>356</v>
      </c>
      <c r="E78" s="508" t="s">
        <v>357</v>
      </c>
      <c r="F78" s="485">
        <v>140</v>
      </c>
      <c r="G78" s="136"/>
    </row>
    <row r="79" spans="1:7" ht="12.75">
      <c r="A79" s="136"/>
      <c r="B79" s="483">
        <v>77</v>
      </c>
      <c r="C79" s="501">
        <v>39409</v>
      </c>
      <c r="D79" s="484" t="s">
        <v>86</v>
      </c>
      <c r="E79" s="508" t="s">
        <v>362</v>
      </c>
      <c r="F79" s="485">
        <v>140</v>
      </c>
      <c r="G79" s="136"/>
    </row>
    <row r="80" spans="1:7" ht="12.75">
      <c r="A80" s="136"/>
      <c r="B80" s="483">
        <v>78</v>
      </c>
      <c r="C80" s="501">
        <v>39412</v>
      </c>
      <c r="D80" s="484" t="s">
        <v>81</v>
      </c>
      <c r="E80" s="508" t="s">
        <v>351</v>
      </c>
      <c r="F80" s="485">
        <v>150</v>
      </c>
      <c r="G80" s="136"/>
    </row>
    <row r="81" spans="1:7" ht="12.75">
      <c r="A81" s="136"/>
      <c r="B81" s="483">
        <v>79</v>
      </c>
      <c r="C81" s="501">
        <v>39412</v>
      </c>
      <c r="D81" s="484" t="s">
        <v>83</v>
      </c>
      <c r="E81" s="508" t="s">
        <v>336</v>
      </c>
      <c r="F81" s="485">
        <v>150</v>
      </c>
      <c r="G81" s="136"/>
    </row>
    <row r="82" spans="1:7" ht="12.75">
      <c r="A82" s="136"/>
      <c r="B82" s="483">
        <v>80</v>
      </c>
      <c r="C82" s="501">
        <v>39413</v>
      </c>
      <c r="D82" s="484" t="s">
        <v>269</v>
      </c>
      <c r="E82" s="508" t="s">
        <v>355</v>
      </c>
      <c r="F82" s="485">
        <v>140</v>
      </c>
      <c r="G82" s="136"/>
    </row>
    <row r="83" spans="1:7" ht="12.75">
      <c r="A83" s="136"/>
      <c r="B83" s="483">
        <v>81</v>
      </c>
      <c r="C83" s="501">
        <v>39413</v>
      </c>
      <c r="D83" s="484" t="s">
        <v>320</v>
      </c>
      <c r="E83" s="508" t="s">
        <v>321</v>
      </c>
      <c r="F83" s="485">
        <v>40</v>
      </c>
      <c r="G83" s="136"/>
    </row>
    <row r="84" spans="1:7" ht="12.75">
      <c r="A84" s="136"/>
      <c r="B84" s="483">
        <v>82</v>
      </c>
      <c r="C84" s="501">
        <v>39419</v>
      </c>
      <c r="D84" s="484" t="s">
        <v>82</v>
      </c>
      <c r="E84" s="508" t="s">
        <v>340</v>
      </c>
      <c r="F84" s="485">
        <v>140</v>
      </c>
      <c r="G84" s="136"/>
    </row>
    <row r="85" spans="1:7" ht="12.75">
      <c r="A85" s="136"/>
      <c r="B85" s="483">
        <v>83</v>
      </c>
      <c r="C85" s="501">
        <v>39419</v>
      </c>
      <c r="D85" s="484" t="s">
        <v>289</v>
      </c>
      <c r="E85" s="508" t="s">
        <v>319</v>
      </c>
      <c r="F85" s="485">
        <v>150</v>
      </c>
      <c r="G85" s="136"/>
    </row>
    <row r="86" spans="1:7" ht="12.75">
      <c r="A86" s="136"/>
      <c r="B86" s="483">
        <v>84</v>
      </c>
      <c r="C86" s="501">
        <v>39419</v>
      </c>
      <c r="D86" s="484" t="s">
        <v>342</v>
      </c>
      <c r="E86" s="508" t="s">
        <v>343</v>
      </c>
      <c r="F86" s="485">
        <v>40</v>
      </c>
      <c r="G86" s="136"/>
    </row>
    <row r="87" spans="1:7" ht="12.75">
      <c r="A87" s="136"/>
      <c r="B87" s="483">
        <v>85</v>
      </c>
      <c r="C87" s="501">
        <v>39419</v>
      </c>
      <c r="D87" s="484" t="s">
        <v>344</v>
      </c>
      <c r="E87" s="508" t="s">
        <v>345</v>
      </c>
      <c r="F87" s="485">
        <v>140</v>
      </c>
      <c r="G87" s="136"/>
    </row>
    <row r="88" spans="1:7" ht="12.75">
      <c r="A88" s="136"/>
      <c r="B88" s="483">
        <v>86</v>
      </c>
      <c r="C88" s="501">
        <v>39421</v>
      </c>
      <c r="D88" s="484" t="s">
        <v>376</v>
      </c>
      <c r="E88" s="508" t="s">
        <v>377</v>
      </c>
      <c r="F88" s="485">
        <v>150</v>
      </c>
      <c r="G88" s="136"/>
    </row>
    <row r="89" spans="1:7" ht="12.75">
      <c r="A89" s="136"/>
      <c r="B89" s="483">
        <v>87</v>
      </c>
      <c r="C89" s="501">
        <v>39422</v>
      </c>
      <c r="D89" s="484" t="s">
        <v>87</v>
      </c>
      <c r="E89" s="508" t="s">
        <v>299</v>
      </c>
      <c r="F89" s="486">
        <v>75</v>
      </c>
      <c r="G89" s="136"/>
    </row>
    <row r="90" spans="1:7" ht="12.75">
      <c r="A90" s="136"/>
      <c r="B90" s="483">
        <v>88</v>
      </c>
      <c r="C90" s="501">
        <v>39422</v>
      </c>
      <c r="D90" s="484" t="s">
        <v>87</v>
      </c>
      <c r="E90" s="508" t="s">
        <v>300</v>
      </c>
      <c r="F90" s="485">
        <v>40</v>
      </c>
      <c r="G90" s="136"/>
    </row>
    <row r="91" spans="1:7" ht="12.75">
      <c r="A91" s="136"/>
      <c r="B91" s="483">
        <v>89</v>
      </c>
      <c r="C91" s="501">
        <v>39423</v>
      </c>
      <c r="D91" s="484" t="s">
        <v>320</v>
      </c>
      <c r="E91" s="508" t="s">
        <v>321</v>
      </c>
      <c r="F91" s="485">
        <v>40</v>
      </c>
      <c r="G91" s="136"/>
    </row>
    <row r="92" spans="1:7" ht="12.75">
      <c r="A92" s="136"/>
      <c r="B92" s="483">
        <v>90</v>
      </c>
      <c r="C92" s="501">
        <v>39423</v>
      </c>
      <c r="D92" s="484" t="s">
        <v>81</v>
      </c>
      <c r="E92" s="508" t="s">
        <v>351</v>
      </c>
      <c r="F92" s="485">
        <v>130</v>
      </c>
      <c r="G92" s="136"/>
    </row>
    <row r="93" spans="1:7" ht="12.75">
      <c r="A93" s="136"/>
      <c r="B93" s="483">
        <v>91</v>
      </c>
      <c r="C93" s="501">
        <v>39423</v>
      </c>
      <c r="D93" s="484" t="s">
        <v>298</v>
      </c>
      <c r="E93" s="508" t="s">
        <v>325</v>
      </c>
      <c r="F93" s="485">
        <v>150</v>
      </c>
      <c r="G93" s="136"/>
    </row>
    <row r="94" spans="1:7" ht="12.75">
      <c r="A94" s="136"/>
      <c r="B94" s="483">
        <v>92</v>
      </c>
      <c r="C94" s="501">
        <v>39426</v>
      </c>
      <c r="D94" s="484" t="s">
        <v>269</v>
      </c>
      <c r="E94" s="508" t="s">
        <v>355</v>
      </c>
      <c r="F94" s="485">
        <v>140</v>
      </c>
      <c r="G94" s="136"/>
    </row>
    <row r="95" spans="1:7" ht="12.75">
      <c r="A95" s="136"/>
      <c r="B95" s="483">
        <v>93</v>
      </c>
      <c r="C95" s="501">
        <v>39426</v>
      </c>
      <c r="D95" s="484" t="s">
        <v>356</v>
      </c>
      <c r="E95" s="508" t="s">
        <v>357</v>
      </c>
      <c r="F95" s="485">
        <v>140</v>
      </c>
      <c r="G95" s="136"/>
    </row>
    <row r="96" spans="1:7" ht="12.75">
      <c r="A96" s="136"/>
      <c r="B96" s="483">
        <v>94</v>
      </c>
      <c r="C96" s="501">
        <v>39439</v>
      </c>
      <c r="D96" s="484" t="s">
        <v>298</v>
      </c>
      <c r="E96" s="508" t="s">
        <v>413</v>
      </c>
      <c r="F96" s="485">
        <v>40</v>
      </c>
      <c r="G96" s="136"/>
    </row>
    <row r="97" spans="1:7" ht="12.75">
      <c r="A97" s="136"/>
      <c r="B97" s="483">
        <v>95</v>
      </c>
      <c r="C97" s="501">
        <v>39441</v>
      </c>
      <c r="D97" s="484" t="s">
        <v>83</v>
      </c>
      <c r="E97" s="508" t="s">
        <v>336</v>
      </c>
      <c r="F97" s="485">
        <v>150</v>
      </c>
      <c r="G97" s="136"/>
    </row>
    <row r="98" spans="1:7" ht="12.75">
      <c r="A98" s="136"/>
      <c r="B98" s="483">
        <v>96</v>
      </c>
      <c r="C98" s="501">
        <v>39442</v>
      </c>
      <c r="D98" s="484" t="s">
        <v>86</v>
      </c>
      <c r="E98" s="508" t="s">
        <v>362</v>
      </c>
      <c r="F98" s="485">
        <v>140</v>
      </c>
      <c r="G98" s="136"/>
    </row>
    <row r="99" spans="1:7" ht="12.75">
      <c r="A99" s="136"/>
      <c r="B99" s="483">
        <v>97</v>
      </c>
      <c r="C99" s="501">
        <v>39449</v>
      </c>
      <c r="D99" s="484" t="s">
        <v>82</v>
      </c>
      <c r="E99" s="508" t="s">
        <v>340</v>
      </c>
      <c r="F99" s="485">
        <v>140</v>
      </c>
      <c r="G99" s="136"/>
    </row>
    <row r="100" spans="1:7" ht="12.75">
      <c r="A100" s="136"/>
      <c r="B100" s="483">
        <v>98</v>
      </c>
      <c r="C100" s="501">
        <v>39449</v>
      </c>
      <c r="D100" s="484" t="s">
        <v>87</v>
      </c>
      <c r="E100" s="508" t="s">
        <v>299</v>
      </c>
      <c r="F100" s="486">
        <v>75</v>
      </c>
      <c r="G100" s="136"/>
    </row>
    <row r="101" spans="1:7" ht="12.75">
      <c r="A101" s="136"/>
      <c r="B101" s="483">
        <v>99</v>
      </c>
      <c r="C101" s="501">
        <v>39450</v>
      </c>
      <c r="D101" s="484" t="s">
        <v>376</v>
      </c>
      <c r="E101" s="508" t="s">
        <v>377</v>
      </c>
      <c r="F101" s="485">
        <v>150</v>
      </c>
      <c r="G101" s="136"/>
    </row>
    <row r="102" spans="1:7" ht="12.75">
      <c r="A102" s="136"/>
      <c r="B102" s="483">
        <v>100</v>
      </c>
      <c r="C102" s="501">
        <v>39450</v>
      </c>
      <c r="D102" s="484" t="s">
        <v>87</v>
      </c>
      <c r="E102" s="508" t="s">
        <v>300</v>
      </c>
      <c r="F102" s="485">
        <v>40</v>
      </c>
      <c r="G102" s="136"/>
    </row>
    <row r="103" spans="1:7" ht="12.75">
      <c r="A103" s="136"/>
      <c r="B103" s="483">
        <v>101</v>
      </c>
      <c r="C103" s="501">
        <v>39450</v>
      </c>
      <c r="D103" s="484" t="s">
        <v>298</v>
      </c>
      <c r="E103" s="508" t="s">
        <v>413</v>
      </c>
      <c r="F103" s="485">
        <v>40</v>
      </c>
      <c r="G103" s="136"/>
    </row>
    <row r="104" spans="1:7" ht="12.75">
      <c r="A104" s="136"/>
      <c r="B104" s="483">
        <v>102</v>
      </c>
      <c r="C104" s="501">
        <v>39451</v>
      </c>
      <c r="D104" s="484" t="s">
        <v>356</v>
      </c>
      <c r="E104" s="508" t="s">
        <v>357</v>
      </c>
      <c r="F104" s="485">
        <v>140</v>
      </c>
      <c r="G104" s="136"/>
    </row>
    <row r="105" spans="1:7" ht="12.75">
      <c r="A105" s="136"/>
      <c r="B105" s="483">
        <v>103</v>
      </c>
      <c r="C105" s="501">
        <v>39451</v>
      </c>
      <c r="D105" s="484" t="s">
        <v>344</v>
      </c>
      <c r="E105" s="508" t="s">
        <v>345</v>
      </c>
      <c r="F105" s="485">
        <v>140</v>
      </c>
      <c r="G105" s="136"/>
    </row>
    <row r="106" spans="1:7" ht="12.75">
      <c r="A106" s="136"/>
      <c r="B106" s="483">
        <v>104</v>
      </c>
      <c r="C106" s="501">
        <v>39458</v>
      </c>
      <c r="D106" s="484" t="s">
        <v>81</v>
      </c>
      <c r="E106" s="508" t="s">
        <v>351</v>
      </c>
      <c r="F106" s="485">
        <v>140</v>
      </c>
      <c r="G106" s="136"/>
    </row>
    <row r="107" spans="1:7" ht="12.75">
      <c r="A107" s="136"/>
      <c r="B107" s="483">
        <v>105</v>
      </c>
      <c r="C107" s="501">
        <v>39458</v>
      </c>
      <c r="D107" s="484" t="s">
        <v>86</v>
      </c>
      <c r="E107" s="508" t="s">
        <v>362</v>
      </c>
      <c r="F107" s="485">
        <v>140</v>
      </c>
      <c r="G107" s="136"/>
    </row>
    <row r="108" spans="1:7" ht="12.75">
      <c r="A108" s="136"/>
      <c r="B108" s="483">
        <v>106</v>
      </c>
      <c r="C108" s="501">
        <v>39458</v>
      </c>
      <c r="D108" s="484" t="s">
        <v>289</v>
      </c>
      <c r="E108" s="508" t="s">
        <v>319</v>
      </c>
      <c r="F108" s="485">
        <v>140</v>
      </c>
      <c r="G108" s="136"/>
    </row>
    <row r="109" spans="1:7" ht="12.75">
      <c r="A109" s="136"/>
      <c r="B109" s="483">
        <v>107</v>
      </c>
      <c r="C109" s="501">
        <v>39458</v>
      </c>
      <c r="D109" s="484" t="s">
        <v>289</v>
      </c>
      <c r="E109" s="508" t="s">
        <v>319</v>
      </c>
      <c r="F109" s="485">
        <v>10</v>
      </c>
      <c r="G109" s="136"/>
    </row>
    <row r="110" spans="1:7" ht="12.75">
      <c r="A110" s="136"/>
      <c r="B110" s="483">
        <v>108</v>
      </c>
      <c r="C110" s="501">
        <v>39464</v>
      </c>
      <c r="D110" s="484" t="s">
        <v>269</v>
      </c>
      <c r="E110" s="508" t="s">
        <v>355</v>
      </c>
      <c r="F110" s="485">
        <v>280</v>
      </c>
      <c r="G110" s="136"/>
    </row>
    <row r="111" spans="1:7" ht="12.75">
      <c r="A111" s="136"/>
      <c r="B111" s="483">
        <v>109</v>
      </c>
      <c r="C111" s="501">
        <v>39475</v>
      </c>
      <c r="D111" s="484" t="s">
        <v>83</v>
      </c>
      <c r="E111" s="508" t="s">
        <v>336</v>
      </c>
      <c r="F111" s="485">
        <v>150</v>
      </c>
      <c r="G111" s="136"/>
    </row>
    <row r="112" spans="1:7" ht="12.75">
      <c r="A112" s="136"/>
      <c r="B112" s="483">
        <v>110</v>
      </c>
      <c r="C112" s="501">
        <v>39478</v>
      </c>
      <c r="D112" s="484" t="s">
        <v>298</v>
      </c>
      <c r="E112" s="508" t="s">
        <v>325</v>
      </c>
      <c r="F112" s="485">
        <v>150</v>
      </c>
      <c r="G112" s="136"/>
    </row>
    <row r="113" spans="1:7" ht="12.75">
      <c r="A113" s="136"/>
      <c r="B113" s="483">
        <v>111</v>
      </c>
      <c r="C113" s="501">
        <v>39479</v>
      </c>
      <c r="D113" s="484" t="s">
        <v>87</v>
      </c>
      <c r="E113" s="508" t="s">
        <v>300</v>
      </c>
      <c r="F113" s="485">
        <v>40</v>
      </c>
      <c r="G113" s="136"/>
    </row>
    <row r="114" spans="1:7" ht="12.75">
      <c r="A114" s="136"/>
      <c r="B114" s="483">
        <v>112</v>
      </c>
      <c r="C114" s="501">
        <v>39479</v>
      </c>
      <c r="D114" s="484" t="s">
        <v>82</v>
      </c>
      <c r="E114" s="508" t="s">
        <v>340</v>
      </c>
      <c r="F114" s="485">
        <v>140</v>
      </c>
      <c r="G114" s="136"/>
    </row>
    <row r="115" spans="1:7" ht="12.75">
      <c r="A115" s="136"/>
      <c r="B115" s="483">
        <v>113</v>
      </c>
      <c r="C115" s="501">
        <v>39479</v>
      </c>
      <c r="D115" s="484" t="s">
        <v>87</v>
      </c>
      <c r="E115" s="508" t="s">
        <v>299</v>
      </c>
      <c r="F115" s="486">
        <v>75</v>
      </c>
      <c r="G115" s="136"/>
    </row>
    <row r="116" spans="1:7" ht="12.75">
      <c r="A116" s="136"/>
      <c r="B116" s="483">
        <v>114</v>
      </c>
      <c r="C116" s="501">
        <v>39479</v>
      </c>
      <c r="D116" s="484" t="s">
        <v>298</v>
      </c>
      <c r="E116" s="508" t="s">
        <v>325</v>
      </c>
      <c r="F116" s="485">
        <v>150</v>
      </c>
      <c r="G116" s="136"/>
    </row>
    <row r="117" spans="1:7" ht="12.75">
      <c r="A117" s="136"/>
      <c r="B117" s="483">
        <v>115</v>
      </c>
      <c r="C117" s="501">
        <v>39479</v>
      </c>
      <c r="D117" s="484" t="s">
        <v>298</v>
      </c>
      <c r="E117" s="508" t="s">
        <v>413</v>
      </c>
      <c r="F117" s="485">
        <v>40</v>
      </c>
      <c r="G117" s="136"/>
    </row>
    <row r="118" spans="1:7" ht="12.75">
      <c r="A118" s="136"/>
      <c r="B118" s="483">
        <v>116</v>
      </c>
      <c r="C118" s="501">
        <v>39482</v>
      </c>
      <c r="D118" s="484" t="s">
        <v>289</v>
      </c>
      <c r="E118" s="508" t="s">
        <v>319</v>
      </c>
      <c r="F118" s="485">
        <v>150</v>
      </c>
      <c r="G118" s="136"/>
    </row>
    <row r="119" spans="1:7" ht="12.75">
      <c r="A119" s="136"/>
      <c r="B119" s="483">
        <v>117</v>
      </c>
      <c r="C119" s="501">
        <v>39482</v>
      </c>
      <c r="D119" s="484" t="s">
        <v>376</v>
      </c>
      <c r="E119" s="508" t="s">
        <v>377</v>
      </c>
      <c r="F119" s="485">
        <v>150</v>
      </c>
      <c r="G119" s="136"/>
    </row>
    <row r="120" spans="1:7" ht="12.75">
      <c r="A120" s="136"/>
      <c r="B120" s="483">
        <v>118</v>
      </c>
      <c r="C120" s="501">
        <v>39482</v>
      </c>
      <c r="D120" s="484" t="s">
        <v>344</v>
      </c>
      <c r="E120" s="508" t="s">
        <v>345</v>
      </c>
      <c r="F120" s="485">
        <v>140</v>
      </c>
      <c r="G120" s="136"/>
    </row>
    <row r="121" spans="1:7" ht="12.75">
      <c r="A121" s="136"/>
      <c r="B121" s="483">
        <v>119</v>
      </c>
      <c r="C121" s="501">
        <v>39485</v>
      </c>
      <c r="D121" s="484" t="s">
        <v>356</v>
      </c>
      <c r="E121" s="508" t="s">
        <v>357</v>
      </c>
      <c r="F121" s="485">
        <v>140</v>
      </c>
      <c r="G121" s="136"/>
    </row>
    <row r="122" spans="1:7" ht="12.75">
      <c r="A122" s="136"/>
      <c r="B122" s="483">
        <v>120</v>
      </c>
      <c r="C122" s="501">
        <v>39490</v>
      </c>
      <c r="D122" s="484" t="s">
        <v>320</v>
      </c>
      <c r="E122" s="508" t="s">
        <v>321</v>
      </c>
      <c r="F122" s="485">
        <v>80</v>
      </c>
      <c r="G122" s="136"/>
    </row>
    <row r="123" spans="1:7" ht="12.75">
      <c r="A123" s="136"/>
      <c r="B123" s="483">
        <v>121</v>
      </c>
      <c r="C123" s="501">
        <v>39492</v>
      </c>
      <c r="D123" s="484" t="s">
        <v>81</v>
      </c>
      <c r="E123" s="508" t="s">
        <v>351</v>
      </c>
      <c r="F123" s="485">
        <v>140</v>
      </c>
      <c r="G123" s="136"/>
    </row>
    <row r="124" spans="1:7" ht="12.75">
      <c r="A124" s="136"/>
      <c r="B124" s="483">
        <v>122</v>
      </c>
      <c r="C124" s="501">
        <v>39500</v>
      </c>
      <c r="D124" s="484" t="s">
        <v>80</v>
      </c>
      <c r="E124" s="508" t="s">
        <v>323</v>
      </c>
      <c r="F124" s="485">
        <v>1120</v>
      </c>
      <c r="G124" s="136"/>
    </row>
    <row r="125" spans="1:7" ht="12.75">
      <c r="A125" s="136"/>
      <c r="B125" s="483">
        <v>123</v>
      </c>
      <c r="C125" s="501">
        <v>39504</v>
      </c>
      <c r="D125" s="484" t="s">
        <v>84</v>
      </c>
      <c r="E125" s="508" t="s">
        <v>379</v>
      </c>
      <c r="F125" s="485">
        <v>900</v>
      </c>
      <c r="G125" s="136"/>
    </row>
    <row r="126" spans="1:7" ht="12.75">
      <c r="A126" s="136"/>
      <c r="B126" s="483">
        <v>124</v>
      </c>
      <c r="C126" s="501">
        <v>39507</v>
      </c>
      <c r="D126" s="484" t="s">
        <v>82</v>
      </c>
      <c r="E126" s="508" t="s">
        <v>340</v>
      </c>
      <c r="F126" s="485">
        <v>140</v>
      </c>
      <c r="G126" s="136"/>
    </row>
    <row r="127" spans="1:7" ht="12.75">
      <c r="A127" s="136"/>
      <c r="B127" s="483">
        <v>125</v>
      </c>
      <c r="C127" s="501">
        <v>39507</v>
      </c>
      <c r="D127" s="484" t="s">
        <v>87</v>
      </c>
      <c r="E127" s="508" t="s">
        <v>299</v>
      </c>
      <c r="F127" s="486">
        <v>75</v>
      </c>
      <c r="G127" s="136"/>
    </row>
    <row r="128" spans="1:7" ht="12.75">
      <c r="A128" s="136"/>
      <c r="B128" s="483">
        <v>126</v>
      </c>
      <c r="C128" s="501">
        <v>39507</v>
      </c>
      <c r="D128" s="484" t="s">
        <v>87</v>
      </c>
      <c r="E128" s="508" t="s">
        <v>300</v>
      </c>
      <c r="F128" s="485">
        <v>40</v>
      </c>
      <c r="G128" s="136"/>
    </row>
    <row r="129" spans="1:7" ht="12.75">
      <c r="A129" s="136"/>
      <c r="B129" s="483">
        <v>127</v>
      </c>
      <c r="C129" s="501">
        <v>39507</v>
      </c>
      <c r="D129" s="484" t="s">
        <v>298</v>
      </c>
      <c r="E129" s="508" t="s">
        <v>325</v>
      </c>
      <c r="F129" s="485">
        <v>150</v>
      </c>
      <c r="G129" s="136"/>
    </row>
    <row r="130" spans="1:7" ht="12.75">
      <c r="A130" s="136"/>
      <c r="B130" s="483">
        <v>128</v>
      </c>
      <c r="C130" s="501">
        <v>39507</v>
      </c>
      <c r="D130" s="484" t="s">
        <v>298</v>
      </c>
      <c r="E130" s="508" t="s">
        <v>413</v>
      </c>
      <c r="F130" s="485">
        <v>40</v>
      </c>
      <c r="G130" s="136"/>
    </row>
    <row r="131" spans="1:7" ht="12.75">
      <c r="A131" s="136"/>
      <c r="B131" s="483">
        <v>129</v>
      </c>
      <c r="C131" s="501">
        <v>39510</v>
      </c>
      <c r="D131" s="484" t="s">
        <v>344</v>
      </c>
      <c r="E131" s="508" t="s">
        <v>345</v>
      </c>
      <c r="F131" s="485">
        <v>140</v>
      </c>
      <c r="G131" s="136"/>
    </row>
    <row r="132" spans="1:7" ht="12.75">
      <c r="A132" s="136"/>
      <c r="B132" s="483">
        <v>130</v>
      </c>
      <c r="C132" s="501">
        <v>39510</v>
      </c>
      <c r="D132" s="484" t="s">
        <v>83</v>
      </c>
      <c r="E132" s="508" t="s">
        <v>336</v>
      </c>
      <c r="F132" s="485">
        <v>150</v>
      </c>
      <c r="G132" s="136"/>
    </row>
    <row r="133" spans="1:7" ht="12.75">
      <c r="A133" s="136"/>
      <c r="B133" s="483">
        <v>131</v>
      </c>
      <c r="C133" s="501">
        <v>39511</v>
      </c>
      <c r="D133" s="484" t="s">
        <v>376</v>
      </c>
      <c r="E133" s="508" t="s">
        <v>377</v>
      </c>
      <c r="F133" s="485">
        <v>150</v>
      </c>
      <c r="G133" s="136"/>
    </row>
    <row r="134" spans="1:7" ht="12.75">
      <c r="A134" s="136"/>
      <c r="B134" s="483">
        <v>132</v>
      </c>
      <c r="C134" s="501">
        <v>39511</v>
      </c>
      <c r="D134" s="484" t="s">
        <v>86</v>
      </c>
      <c r="E134" s="508" t="s">
        <v>362</v>
      </c>
      <c r="F134" s="485">
        <v>150</v>
      </c>
      <c r="G134" s="136"/>
    </row>
    <row r="135" spans="1:7" ht="12.75">
      <c r="A135" s="136"/>
      <c r="B135" s="483">
        <v>133</v>
      </c>
      <c r="C135" s="501">
        <v>39511</v>
      </c>
      <c r="D135" s="484" t="s">
        <v>289</v>
      </c>
      <c r="E135" s="508" t="s">
        <v>319</v>
      </c>
      <c r="F135" s="485">
        <v>150</v>
      </c>
      <c r="G135" s="136"/>
    </row>
    <row r="136" spans="1:7" ht="12.75">
      <c r="A136" s="136"/>
      <c r="B136" s="483">
        <v>134</v>
      </c>
      <c r="C136" s="501">
        <v>39514</v>
      </c>
      <c r="D136" s="484" t="s">
        <v>81</v>
      </c>
      <c r="E136" s="508" t="s">
        <v>351</v>
      </c>
      <c r="F136" s="485">
        <v>140</v>
      </c>
      <c r="G136" s="136"/>
    </row>
    <row r="137" spans="1:7" ht="12.75">
      <c r="A137" s="136"/>
      <c r="B137" s="483">
        <v>135</v>
      </c>
      <c r="C137" s="501">
        <v>39517</v>
      </c>
      <c r="D137" s="484" t="s">
        <v>328</v>
      </c>
      <c r="E137" s="508" t="s">
        <v>329</v>
      </c>
      <c r="F137" s="485">
        <v>817</v>
      </c>
      <c r="G137" s="136"/>
    </row>
    <row r="138" spans="1:7" ht="12.75">
      <c r="A138" s="136"/>
      <c r="B138" s="483">
        <v>136</v>
      </c>
      <c r="C138" s="501">
        <v>39518</v>
      </c>
      <c r="D138" s="484" t="s">
        <v>86</v>
      </c>
      <c r="E138" s="508" t="s">
        <v>362</v>
      </c>
      <c r="F138" s="485">
        <v>130</v>
      </c>
      <c r="G138" s="136"/>
    </row>
    <row r="139" spans="1:7" ht="12.75">
      <c r="A139" s="136"/>
      <c r="B139" s="483">
        <v>137</v>
      </c>
      <c r="C139" s="501">
        <v>39524</v>
      </c>
      <c r="D139" s="484" t="s">
        <v>320</v>
      </c>
      <c r="E139" s="508" t="s">
        <v>321</v>
      </c>
      <c r="F139" s="485">
        <v>40</v>
      </c>
      <c r="G139" s="136"/>
    </row>
    <row r="140" spans="1:7" ht="12.75">
      <c r="A140" s="136"/>
      <c r="B140" s="483">
        <v>138</v>
      </c>
      <c r="C140" s="501">
        <v>39534</v>
      </c>
      <c r="D140" s="484" t="s">
        <v>342</v>
      </c>
      <c r="E140" s="508" t="s">
        <v>343</v>
      </c>
      <c r="F140" s="485">
        <v>120</v>
      </c>
      <c r="G140" s="136"/>
    </row>
    <row r="141" spans="1:7" ht="12.75">
      <c r="A141" s="136"/>
      <c r="B141" s="483">
        <v>139</v>
      </c>
      <c r="C141" s="501">
        <v>39534</v>
      </c>
      <c r="D141" s="484" t="s">
        <v>83</v>
      </c>
      <c r="E141" s="508" t="s">
        <v>336</v>
      </c>
      <c r="F141" s="485">
        <v>150</v>
      </c>
      <c r="G141" s="136"/>
    </row>
    <row r="142" spans="1:7" ht="12.75">
      <c r="A142" s="136"/>
      <c r="B142" s="483">
        <v>140</v>
      </c>
      <c r="C142" s="501">
        <v>39534</v>
      </c>
      <c r="D142" s="484" t="s">
        <v>356</v>
      </c>
      <c r="E142" s="508" t="s">
        <v>357</v>
      </c>
      <c r="F142" s="485">
        <v>140</v>
      </c>
      <c r="G142" s="136"/>
    </row>
    <row r="143" spans="1:7" ht="12.75">
      <c r="A143" s="136"/>
      <c r="B143" s="483">
        <v>141</v>
      </c>
      <c r="C143" s="501">
        <v>39539</v>
      </c>
      <c r="D143" s="484" t="s">
        <v>82</v>
      </c>
      <c r="E143" s="508" t="s">
        <v>340</v>
      </c>
      <c r="F143" s="485">
        <v>140</v>
      </c>
      <c r="G143" s="136"/>
    </row>
    <row r="144" spans="1:7" ht="12.75">
      <c r="A144" s="136"/>
      <c r="B144" s="483">
        <v>142</v>
      </c>
      <c r="C144" s="501">
        <v>39539</v>
      </c>
      <c r="D144" s="484" t="s">
        <v>87</v>
      </c>
      <c r="E144" s="508" t="s">
        <v>299</v>
      </c>
      <c r="F144" s="486">
        <v>75</v>
      </c>
      <c r="G144" s="136"/>
    </row>
    <row r="145" spans="1:7" ht="12.75">
      <c r="A145" s="136"/>
      <c r="B145" s="483">
        <v>143</v>
      </c>
      <c r="C145" s="501">
        <v>39539</v>
      </c>
      <c r="D145" s="484" t="s">
        <v>87</v>
      </c>
      <c r="E145" s="508" t="s">
        <v>300</v>
      </c>
      <c r="F145" s="485">
        <v>40</v>
      </c>
      <c r="G145" s="136"/>
    </row>
    <row r="146" spans="1:7" ht="12.75">
      <c r="A146" s="136"/>
      <c r="B146" s="483">
        <v>144</v>
      </c>
      <c r="C146" s="501">
        <v>39539</v>
      </c>
      <c r="D146" s="484" t="s">
        <v>298</v>
      </c>
      <c r="E146" s="508" t="s">
        <v>325</v>
      </c>
      <c r="F146" s="485">
        <v>150</v>
      </c>
      <c r="G146" s="136"/>
    </row>
    <row r="147" spans="1:7" ht="12.75">
      <c r="A147" s="136"/>
      <c r="B147" s="483">
        <v>145</v>
      </c>
      <c r="C147" s="501">
        <v>39539</v>
      </c>
      <c r="D147" s="484" t="s">
        <v>298</v>
      </c>
      <c r="E147" s="508" t="s">
        <v>413</v>
      </c>
      <c r="F147" s="485">
        <v>40</v>
      </c>
      <c r="G147" s="136"/>
    </row>
    <row r="148" spans="1:7" ht="12.75">
      <c r="A148" s="136"/>
      <c r="B148" s="483">
        <v>146</v>
      </c>
      <c r="C148" s="501">
        <v>39541</v>
      </c>
      <c r="D148" s="484" t="s">
        <v>86</v>
      </c>
      <c r="E148" s="508" t="s">
        <v>362</v>
      </c>
      <c r="F148" s="485">
        <v>150</v>
      </c>
      <c r="G148" s="136"/>
    </row>
    <row r="149" spans="1:7" ht="12.75">
      <c r="A149" s="136"/>
      <c r="B149" s="483">
        <v>147</v>
      </c>
      <c r="C149" s="501">
        <v>39541</v>
      </c>
      <c r="D149" s="484" t="s">
        <v>376</v>
      </c>
      <c r="E149" s="508" t="s">
        <v>377</v>
      </c>
      <c r="F149" s="485">
        <v>150</v>
      </c>
      <c r="G149" s="136"/>
    </row>
    <row r="150" spans="1:7" ht="12.75">
      <c r="A150" s="136"/>
      <c r="B150" s="483">
        <v>148</v>
      </c>
      <c r="C150" s="501">
        <v>39541</v>
      </c>
      <c r="D150" s="484" t="s">
        <v>344</v>
      </c>
      <c r="E150" s="508" t="s">
        <v>345</v>
      </c>
      <c r="F150" s="485">
        <v>140</v>
      </c>
      <c r="G150" s="136"/>
    </row>
    <row r="151" spans="1:7" ht="12.75">
      <c r="A151" s="136"/>
      <c r="B151" s="483">
        <v>149</v>
      </c>
      <c r="C151" s="501">
        <v>39542</v>
      </c>
      <c r="D151" s="484" t="s">
        <v>289</v>
      </c>
      <c r="E151" s="508" t="s">
        <v>319</v>
      </c>
      <c r="F151" s="485">
        <v>150</v>
      </c>
      <c r="G151" s="136"/>
    </row>
    <row r="152" spans="1:7" ht="12.75">
      <c r="A152" s="136"/>
      <c r="B152" s="483">
        <v>150</v>
      </c>
      <c r="C152" s="501">
        <v>39548</v>
      </c>
      <c r="D152" s="484" t="s">
        <v>269</v>
      </c>
      <c r="E152" s="508" t="s">
        <v>355</v>
      </c>
      <c r="F152" s="485">
        <v>140</v>
      </c>
      <c r="G152" s="136"/>
    </row>
    <row r="153" spans="1:7" ht="12.75">
      <c r="A153" s="136"/>
      <c r="B153" s="483">
        <v>151</v>
      </c>
      <c r="C153" s="501">
        <v>39549</v>
      </c>
      <c r="D153" s="484" t="s">
        <v>80</v>
      </c>
      <c r="E153" s="508" t="s">
        <v>323</v>
      </c>
      <c r="F153" s="485">
        <v>140</v>
      </c>
      <c r="G153" s="136"/>
    </row>
    <row r="154" spans="1:7" ht="12.75">
      <c r="A154" s="136"/>
      <c r="B154" s="483">
        <v>152</v>
      </c>
      <c r="C154" s="501">
        <v>39553</v>
      </c>
      <c r="D154" s="484" t="s">
        <v>356</v>
      </c>
      <c r="E154" s="508" t="s">
        <v>357</v>
      </c>
      <c r="F154" s="485">
        <v>140</v>
      </c>
      <c r="G154" s="136"/>
    </row>
    <row r="155" spans="1:7" ht="12.75">
      <c r="A155" s="136"/>
      <c r="B155" s="483">
        <v>153</v>
      </c>
      <c r="C155" s="501">
        <v>39553</v>
      </c>
      <c r="D155" s="484" t="s">
        <v>320</v>
      </c>
      <c r="E155" s="508" t="s">
        <v>321</v>
      </c>
      <c r="F155" s="485">
        <v>40</v>
      </c>
      <c r="G155" s="136"/>
    </row>
    <row r="156" spans="1:7" ht="12.75">
      <c r="A156" s="136"/>
      <c r="B156" s="483">
        <v>154</v>
      </c>
      <c r="C156" s="501">
        <v>39563</v>
      </c>
      <c r="D156" s="484" t="s">
        <v>81</v>
      </c>
      <c r="E156" s="508" t="s">
        <v>351</v>
      </c>
      <c r="F156" s="485">
        <v>140</v>
      </c>
      <c r="G156" s="136"/>
    </row>
    <row r="157" spans="1:7" ht="12.75">
      <c r="A157" s="136"/>
      <c r="B157" s="483">
        <v>155</v>
      </c>
      <c r="C157" s="501">
        <v>39566</v>
      </c>
      <c r="D157" s="484" t="s">
        <v>83</v>
      </c>
      <c r="E157" s="508" t="s">
        <v>336</v>
      </c>
      <c r="F157" s="485">
        <v>150</v>
      </c>
      <c r="G157" s="136"/>
    </row>
    <row r="158" spans="1:7" ht="12.75">
      <c r="A158" s="136"/>
      <c r="B158" s="483">
        <v>156</v>
      </c>
      <c r="C158" s="501">
        <v>39568</v>
      </c>
      <c r="D158" s="484" t="s">
        <v>342</v>
      </c>
      <c r="E158" s="508" t="s">
        <v>343</v>
      </c>
      <c r="F158" s="485">
        <v>40</v>
      </c>
      <c r="G158" s="136"/>
    </row>
    <row r="159" spans="1:7" ht="12.75">
      <c r="A159" s="136"/>
      <c r="B159" s="483">
        <v>157</v>
      </c>
      <c r="C159" s="501">
        <v>39569</v>
      </c>
      <c r="D159" s="484" t="s">
        <v>82</v>
      </c>
      <c r="E159" s="508" t="s">
        <v>340</v>
      </c>
      <c r="F159" s="485">
        <v>140</v>
      </c>
      <c r="G159" s="136"/>
    </row>
    <row r="160" spans="1:7" ht="12.75">
      <c r="A160" s="136"/>
      <c r="B160" s="483">
        <v>158</v>
      </c>
      <c r="C160" s="501">
        <v>39569</v>
      </c>
      <c r="D160" s="484" t="s">
        <v>298</v>
      </c>
      <c r="E160" s="508" t="s">
        <v>325</v>
      </c>
      <c r="F160" s="485">
        <v>150</v>
      </c>
      <c r="G160" s="136"/>
    </row>
    <row r="161" spans="1:7" ht="12.75">
      <c r="A161" s="136"/>
      <c r="B161" s="483">
        <v>159</v>
      </c>
      <c r="C161" s="501">
        <v>39569</v>
      </c>
      <c r="D161" s="484" t="s">
        <v>87</v>
      </c>
      <c r="E161" s="508" t="s">
        <v>299</v>
      </c>
      <c r="F161" s="486">
        <v>75</v>
      </c>
      <c r="G161" s="136"/>
    </row>
    <row r="162" spans="1:7" ht="12.75">
      <c r="A162" s="136"/>
      <c r="B162" s="483">
        <v>160</v>
      </c>
      <c r="C162" s="501">
        <v>39569</v>
      </c>
      <c r="D162" s="484" t="s">
        <v>87</v>
      </c>
      <c r="E162" s="508" t="s">
        <v>300</v>
      </c>
      <c r="F162" s="485">
        <v>40</v>
      </c>
      <c r="G162" s="136"/>
    </row>
    <row r="163" spans="1:7" ht="12.75">
      <c r="A163" s="136"/>
      <c r="B163" s="483">
        <v>161</v>
      </c>
      <c r="C163" s="501" t="s">
        <v>605</v>
      </c>
      <c r="D163" s="484" t="s">
        <v>376</v>
      </c>
      <c r="E163" s="508" t="s">
        <v>377</v>
      </c>
      <c r="F163" s="485">
        <v>150</v>
      </c>
      <c r="G163" s="136"/>
    </row>
    <row r="164" spans="1:7" ht="12.75">
      <c r="A164" s="136"/>
      <c r="B164" s="483">
        <v>162</v>
      </c>
      <c r="C164" s="501" t="s">
        <v>605</v>
      </c>
      <c r="D164" s="484" t="s">
        <v>289</v>
      </c>
      <c r="E164" s="508" t="s">
        <v>319</v>
      </c>
      <c r="F164" s="485">
        <v>150</v>
      </c>
      <c r="G164" s="136"/>
    </row>
    <row r="165" spans="1:7" ht="12.75">
      <c r="A165" s="136"/>
      <c r="B165" s="483">
        <v>163</v>
      </c>
      <c r="C165" s="501" t="s">
        <v>605</v>
      </c>
      <c r="D165" s="484" t="s">
        <v>608</v>
      </c>
      <c r="E165" s="508" t="s">
        <v>413</v>
      </c>
      <c r="F165" s="485">
        <v>40</v>
      </c>
      <c r="G165" s="136"/>
    </row>
    <row r="166" spans="1:7" ht="12.75">
      <c r="A166" s="136"/>
      <c r="B166" s="483">
        <v>164</v>
      </c>
      <c r="C166" s="501">
        <v>39576</v>
      </c>
      <c r="D166" s="484" t="s">
        <v>81</v>
      </c>
      <c r="E166" s="508" t="s">
        <v>351</v>
      </c>
      <c r="F166" s="485">
        <v>140</v>
      </c>
      <c r="G166" s="136"/>
    </row>
    <row r="167" spans="1:7" ht="12.75">
      <c r="A167" s="136"/>
      <c r="B167" s="483">
        <v>165</v>
      </c>
      <c r="C167" s="501">
        <v>39577</v>
      </c>
      <c r="D167" s="484" t="s">
        <v>344</v>
      </c>
      <c r="E167" s="508" t="s">
        <v>345</v>
      </c>
      <c r="F167" s="485">
        <v>140</v>
      </c>
      <c r="G167" s="136"/>
    </row>
    <row r="168" spans="1:7" ht="12.75">
      <c r="A168" s="136"/>
      <c r="B168" s="483">
        <v>166</v>
      </c>
      <c r="C168" s="501">
        <v>39581</v>
      </c>
      <c r="D168" s="484" t="s">
        <v>320</v>
      </c>
      <c r="E168" s="508" t="s">
        <v>321</v>
      </c>
      <c r="F168" s="485">
        <v>40</v>
      </c>
      <c r="G168" s="136"/>
    </row>
    <row r="169" spans="1:7" ht="12.75">
      <c r="A169" s="136"/>
      <c r="B169" s="483">
        <v>167</v>
      </c>
      <c r="C169" s="501">
        <v>39591</v>
      </c>
      <c r="D169" s="484" t="s">
        <v>356</v>
      </c>
      <c r="E169" s="508" t="s">
        <v>357</v>
      </c>
      <c r="F169" s="485">
        <v>140</v>
      </c>
      <c r="G169" s="136"/>
    </row>
    <row r="170" spans="1:7" ht="12.75">
      <c r="A170" s="136"/>
      <c r="B170" s="483">
        <v>168</v>
      </c>
      <c r="C170" s="501">
        <v>39594</v>
      </c>
      <c r="D170" s="484" t="s">
        <v>83</v>
      </c>
      <c r="E170" s="508" t="s">
        <v>336</v>
      </c>
      <c r="F170" s="485">
        <v>150</v>
      </c>
      <c r="G170" s="136"/>
    </row>
    <row r="171" spans="1:7" ht="12.75">
      <c r="A171" s="136"/>
      <c r="B171" s="483">
        <v>169</v>
      </c>
      <c r="C171" s="501">
        <v>39596</v>
      </c>
      <c r="D171" s="484" t="s">
        <v>342</v>
      </c>
      <c r="E171" s="508" t="s">
        <v>343</v>
      </c>
      <c r="F171" s="485">
        <v>40</v>
      </c>
      <c r="G171" s="136"/>
    </row>
    <row r="172" spans="1:7" ht="12.75">
      <c r="A172" s="136"/>
      <c r="B172" s="483">
        <v>170</v>
      </c>
      <c r="C172" s="501"/>
      <c r="D172" s="484"/>
      <c r="E172" s="508"/>
      <c r="F172" s="485"/>
      <c r="G172" s="136"/>
    </row>
    <row r="173" spans="1:7" ht="12.75">
      <c r="A173" s="136"/>
      <c r="B173" s="483">
        <v>171</v>
      </c>
      <c r="C173" s="501"/>
      <c r="D173" s="484"/>
      <c r="E173" s="508"/>
      <c r="F173" s="485"/>
      <c r="G173" s="136"/>
    </row>
    <row r="174" spans="1:7" ht="12.75">
      <c r="A174" s="136"/>
      <c r="B174" s="483">
        <v>172</v>
      </c>
      <c r="C174" s="501"/>
      <c r="D174" s="484"/>
      <c r="E174" s="508"/>
      <c r="F174" s="485"/>
      <c r="G174" s="136"/>
    </row>
    <row r="175" spans="1:7" ht="12.75">
      <c r="A175" s="136"/>
      <c r="B175" s="483">
        <v>173</v>
      </c>
      <c r="C175" s="501"/>
      <c r="D175" s="484"/>
      <c r="E175" s="508"/>
      <c r="F175" s="485"/>
      <c r="G175" s="136"/>
    </row>
    <row r="176" spans="1:7" ht="12.75">
      <c r="A176" s="136"/>
      <c r="B176" s="483">
        <v>174</v>
      </c>
      <c r="C176" s="501"/>
      <c r="D176" s="484"/>
      <c r="E176" s="508"/>
      <c r="F176" s="485"/>
      <c r="G176" s="136"/>
    </row>
    <row r="177" spans="1:7" ht="12.75">
      <c r="A177" s="136"/>
      <c r="B177" s="483">
        <v>175</v>
      </c>
      <c r="C177" s="501"/>
      <c r="D177" s="484"/>
      <c r="E177" s="508"/>
      <c r="F177" s="485"/>
      <c r="G177" s="136"/>
    </row>
    <row r="178" spans="1:7" ht="12.75">
      <c r="A178" s="136"/>
      <c r="B178" s="483">
        <v>176</v>
      </c>
      <c r="C178" s="501"/>
      <c r="D178" s="484"/>
      <c r="E178" s="508"/>
      <c r="F178" s="485"/>
      <c r="G178" s="136"/>
    </row>
    <row r="179" spans="1:7" ht="12.75">
      <c r="A179" s="136"/>
      <c r="B179" s="483">
        <v>177</v>
      </c>
      <c r="C179" s="501"/>
      <c r="D179" s="484"/>
      <c r="E179" s="508"/>
      <c r="F179" s="485"/>
      <c r="G179" s="136"/>
    </row>
    <row r="180" spans="1:7" ht="12.75">
      <c r="A180" s="136"/>
      <c r="B180" s="483">
        <v>178</v>
      </c>
      <c r="C180" s="501"/>
      <c r="D180" s="484"/>
      <c r="E180" s="508"/>
      <c r="F180" s="485"/>
      <c r="G180" s="136"/>
    </row>
    <row r="181" spans="1:7" ht="12.75">
      <c r="A181" s="136"/>
      <c r="B181" s="483">
        <v>179</v>
      </c>
      <c r="C181" s="501"/>
      <c r="D181" s="484"/>
      <c r="E181" s="508"/>
      <c r="F181" s="485"/>
      <c r="G181" s="136"/>
    </row>
    <row r="182" spans="1:7" ht="12.75">
      <c r="A182" s="136"/>
      <c r="B182" s="483">
        <v>180</v>
      </c>
      <c r="C182" s="501"/>
      <c r="D182" s="484"/>
      <c r="E182" s="508"/>
      <c r="F182" s="485"/>
      <c r="G182" s="136"/>
    </row>
    <row r="183" spans="1:7" ht="12.75">
      <c r="A183" s="136"/>
      <c r="B183" s="483">
        <v>181</v>
      </c>
      <c r="C183" s="501"/>
      <c r="D183" s="484"/>
      <c r="E183" s="508"/>
      <c r="F183" s="485"/>
      <c r="G183" s="136"/>
    </row>
    <row r="184" spans="1:7" ht="12.75">
      <c r="A184" s="136"/>
      <c r="B184" s="483">
        <v>182</v>
      </c>
      <c r="C184" s="501"/>
      <c r="D184" s="484"/>
      <c r="E184" s="508"/>
      <c r="F184" s="485"/>
      <c r="G184" s="136"/>
    </row>
    <row r="185" spans="1:7" ht="12.75">
      <c r="A185" s="136"/>
      <c r="B185" s="483">
        <v>183</v>
      </c>
      <c r="C185" s="501"/>
      <c r="D185" s="484"/>
      <c r="E185" s="508"/>
      <c r="F185" s="485"/>
      <c r="G185" s="136"/>
    </row>
    <row r="186" spans="1:7" ht="12.75">
      <c r="A186" s="136"/>
      <c r="B186" s="483">
        <v>184</v>
      </c>
      <c r="C186" s="501"/>
      <c r="D186" s="484"/>
      <c r="E186" s="508"/>
      <c r="F186" s="485"/>
      <c r="G186" s="136"/>
    </row>
    <row r="187" spans="1:7" ht="12.75">
      <c r="A187" s="136"/>
      <c r="B187" s="483">
        <v>185</v>
      </c>
      <c r="C187" s="501"/>
      <c r="D187" s="484"/>
      <c r="E187" s="508"/>
      <c r="F187" s="485"/>
      <c r="G187" s="136"/>
    </row>
    <row r="188" spans="1:7" ht="12.75">
      <c r="A188" s="136"/>
      <c r="B188" s="483">
        <v>186</v>
      </c>
      <c r="C188" s="501"/>
      <c r="D188" s="484"/>
      <c r="E188" s="508"/>
      <c r="F188" s="485"/>
      <c r="G188" s="136"/>
    </row>
    <row r="189" spans="1:7" ht="12.75">
      <c r="A189" s="136"/>
      <c r="B189" s="483">
        <v>187</v>
      </c>
      <c r="C189" s="501"/>
      <c r="D189" s="484"/>
      <c r="E189" s="508"/>
      <c r="F189" s="485"/>
      <c r="G189" s="136"/>
    </row>
    <row r="190" spans="1:7" ht="12.75">
      <c r="A190" s="136"/>
      <c r="B190" s="483">
        <v>188</v>
      </c>
      <c r="C190" s="501"/>
      <c r="D190" s="484"/>
      <c r="E190" s="508"/>
      <c r="F190" s="485"/>
      <c r="G190" s="136"/>
    </row>
    <row r="191" spans="1:7" ht="12.75">
      <c r="A191" s="136"/>
      <c r="B191" s="483">
        <v>189</v>
      </c>
      <c r="C191" s="501"/>
      <c r="D191" s="484"/>
      <c r="E191" s="508"/>
      <c r="F191" s="485"/>
      <c r="G191" s="136"/>
    </row>
    <row r="192" spans="1:7" ht="12.75">
      <c r="A192" s="136"/>
      <c r="B192" s="483">
        <v>190</v>
      </c>
      <c r="C192" s="501"/>
      <c r="D192" s="484"/>
      <c r="E192" s="508"/>
      <c r="F192" s="485"/>
      <c r="G192" s="136"/>
    </row>
    <row r="193" spans="1:7" ht="12.75">
      <c r="A193" s="136"/>
      <c r="B193" s="483">
        <v>191</v>
      </c>
      <c r="C193" s="501"/>
      <c r="D193" s="484"/>
      <c r="E193" s="508"/>
      <c r="F193" s="485"/>
      <c r="G193" s="136"/>
    </row>
    <row r="194" spans="1:7" ht="12.75">
      <c r="A194" s="136"/>
      <c r="B194" s="483">
        <v>192</v>
      </c>
      <c r="C194" s="501"/>
      <c r="D194" s="484"/>
      <c r="E194" s="508"/>
      <c r="F194" s="485"/>
      <c r="G194" s="136"/>
    </row>
    <row r="195" spans="1:7" ht="12.75">
      <c r="A195" s="136"/>
      <c r="B195" s="483">
        <v>193</v>
      </c>
      <c r="C195" s="501"/>
      <c r="D195" s="484"/>
      <c r="E195" s="508"/>
      <c r="F195" s="485"/>
      <c r="G195" s="136"/>
    </row>
    <row r="196" spans="1:7" ht="12.75">
      <c r="A196" s="136"/>
      <c r="B196" s="483">
        <v>194</v>
      </c>
      <c r="C196" s="501"/>
      <c r="D196" s="484"/>
      <c r="E196" s="508"/>
      <c r="F196" s="485"/>
      <c r="G196" s="136"/>
    </row>
    <row r="197" spans="1:7" ht="12.75">
      <c r="A197" s="136"/>
      <c r="B197" s="483">
        <v>195</v>
      </c>
      <c r="C197" s="501"/>
      <c r="D197" s="484"/>
      <c r="E197" s="508"/>
      <c r="F197" s="485"/>
      <c r="G197" s="136"/>
    </row>
    <row r="198" spans="1:7" ht="12.75">
      <c r="A198" s="136"/>
      <c r="B198" s="483">
        <v>196</v>
      </c>
      <c r="C198" s="501"/>
      <c r="D198" s="484"/>
      <c r="E198" s="508"/>
      <c r="F198" s="485"/>
      <c r="G198" s="136"/>
    </row>
    <row r="199" spans="1:7" ht="12.75">
      <c r="A199" s="136"/>
      <c r="B199" s="483">
        <v>197</v>
      </c>
      <c r="C199" s="501"/>
      <c r="D199" s="484"/>
      <c r="E199" s="508"/>
      <c r="F199" s="485"/>
      <c r="G199" s="136"/>
    </row>
    <row r="200" spans="1:7" ht="12.75">
      <c r="A200" s="136"/>
      <c r="B200" s="483">
        <v>198</v>
      </c>
      <c r="C200" s="501"/>
      <c r="D200" s="484"/>
      <c r="E200" s="508"/>
      <c r="F200" s="485"/>
      <c r="G200" s="136"/>
    </row>
    <row r="201" spans="1:7" ht="12.75">
      <c r="A201" s="136"/>
      <c r="B201" s="483">
        <v>199</v>
      </c>
      <c r="C201" s="501"/>
      <c r="D201" s="484"/>
      <c r="E201" s="508"/>
      <c r="F201" s="485"/>
      <c r="G201" s="136"/>
    </row>
    <row r="202" spans="1:7" ht="12.75">
      <c r="A202" s="136"/>
      <c r="B202" s="483">
        <v>200</v>
      </c>
      <c r="C202" s="501"/>
      <c r="D202" s="484"/>
      <c r="E202" s="508"/>
      <c r="F202" s="485"/>
      <c r="G202" s="136"/>
    </row>
    <row r="203" spans="1:7" ht="12.75">
      <c r="A203" s="136"/>
      <c r="B203" s="483">
        <v>201</v>
      </c>
      <c r="C203" s="501"/>
      <c r="D203" s="484"/>
      <c r="E203" s="508"/>
      <c r="F203" s="485"/>
      <c r="G203" s="136"/>
    </row>
    <row r="204" spans="1:7" ht="12.75">
      <c r="A204" s="136"/>
      <c r="B204" s="483">
        <v>202</v>
      </c>
      <c r="C204" s="501"/>
      <c r="D204" s="484"/>
      <c r="E204" s="508"/>
      <c r="F204" s="485"/>
      <c r="G204" s="136"/>
    </row>
    <row r="205" spans="1:7" ht="12.75">
      <c r="A205" s="136"/>
      <c r="B205" s="483">
        <v>203</v>
      </c>
      <c r="C205" s="501"/>
      <c r="D205" s="484"/>
      <c r="E205" s="508"/>
      <c r="F205" s="485"/>
      <c r="G205" s="136"/>
    </row>
    <row r="206" spans="1:7" ht="12.75">
      <c r="A206" s="136"/>
      <c r="B206" s="483">
        <v>204</v>
      </c>
      <c r="C206" s="501"/>
      <c r="D206" s="484"/>
      <c r="E206" s="508"/>
      <c r="F206" s="485"/>
      <c r="G206" s="136"/>
    </row>
    <row r="207" spans="1:7" ht="12.75">
      <c r="A207" s="136"/>
      <c r="B207" s="483">
        <v>205</v>
      </c>
      <c r="C207" s="501"/>
      <c r="D207" s="484"/>
      <c r="E207" s="508"/>
      <c r="F207" s="485"/>
      <c r="G207" s="136"/>
    </row>
    <row r="208" spans="1:7" ht="12.75">
      <c r="A208" s="136"/>
      <c r="B208" s="483">
        <v>206</v>
      </c>
      <c r="C208" s="501"/>
      <c r="D208" s="484"/>
      <c r="E208" s="508"/>
      <c r="F208" s="485"/>
      <c r="G208" s="136"/>
    </row>
    <row r="209" spans="1:7" ht="12.75">
      <c r="A209" s="136"/>
      <c r="B209" s="483">
        <v>207</v>
      </c>
      <c r="C209" s="501"/>
      <c r="D209" s="484"/>
      <c r="E209" s="508"/>
      <c r="F209" s="485"/>
      <c r="G209" s="136"/>
    </row>
    <row r="210" spans="1:7" ht="12.75">
      <c r="A210" s="136"/>
      <c r="B210" s="483">
        <v>208</v>
      </c>
      <c r="C210" s="501"/>
      <c r="D210" s="484"/>
      <c r="E210" s="508"/>
      <c r="F210" s="485"/>
      <c r="G210" s="136"/>
    </row>
  </sheetData>
  <autoFilter ref="D1:E210"/>
  <printOptions/>
  <pageMargins left="0.75" right="0.75" top="1" bottom="1" header="0.5" footer="0.5"/>
  <pageSetup orientation="portrait" paperSize="9" r:id="rId1"/>
  <ignoredErrors>
    <ignoredError sqref="E4:E5 E7:E11 E13:E14 E16 E18:E23 E25 E24 E26:E35 E37 E39:E46 E48:E49 E51:E52 E54:E62 E66 E68:E70 E71:E72 E74 E76 E78:E82 E84:E85 E87:E89 E92:E95 E97:E101 E104:E112 E114:E116 E118:E121 E123:E127 E129 E131:E138 E141:E144 E146 E148:E154 E156:E157 E159:E161 E163:E164 E166:E167 E169:E17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8">
    <tabColor indexed="42"/>
    <pageSetUpPr fitToPage="1"/>
  </sheetPr>
  <dimension ref="A1:I95"/>
  <sheetViews>
    <sheetView zoomScale="85" zoomScaleNormal="85" workbookViewId="0" topLeftCell="A1">
      <selection activeCell="C9" sqref="C9"/>
    </sheetView>
  </sheetViews>
  <sheetFormatPr defaultColWidth="9.140625" defaultRowHeight="12.75"/>
  <cols>
    <col min="1" max="1" width="11.57421875" style="3" customWidth="1"/>
    <col min="2" max="2" width="23.00390625" style="0" customWidth="1"/>
    <col min="3" max="3" width="17.421875" style="4" customWidth="1"/>
    <col min="4" max="4" width="5.8515625" style="0" customWidth="1"/>
    <col min="5" max="5" width="11.57421875" style="3" customWidth="1"/>
    <col min="6" max="6" width="22.00390625" style="0" customWidth="1"/>
    <col min="7" max="7" width="17.140625" style="0" customWidth="1"/>
    <col min="8" max="8" width="12.28125" style="0" bestFit="1" customWidth="1"/>
    <col min="9" max="9" width="17.57421875" style="2" customWidth="1"/>
  </cols>
  <sheetData>
    <row r="1" spans="1:8" ht="15">
      <c r="A1" s="19" t="s">
        <v>63</v>
      </c>
      <c r="B1" s="2" t="s">
        <v>12</v>
      </c>
      <c r="C1" s="42"/>
      <c r="D1" s="26"/>
      <c r="E1" s="35"/>
      <c r="F1" s="26"/>
      <c r="H1" s="63"/>
    </row>
    <row r="2" spans="1:9" ht="33">
      <c r="A2" s="21">
        <v>1</v>
      </c>
      <c r="B2" s="82" t="str">
        <f>Ref!B24</f>
        <v>DAMEKS</v>
      </c>
      <c r="C2" s="48"/>
      <c r="D2" s="26"/>
      <c r="E2" s="49"/>
      <c r="F2" s="43"/>
      <c r="G2" s="67" t="s">
        <v>8</v>
      </c>
      <c r="H2" s="125">
        <f>Ref!$B$1</f>
        <v>39599</v>
      </c>
      <c r="I2" s="44"/>
    </row>
    <row r="3" spans="1:9" ht="17.25">
      <c r="A3" s="22"/>
      <c r="B3" s="23" t="s">
        <v>4</v>
      </c>
      <c r="C3" s="45"/>
      <c r="D3" s="50"/>
      <c r="E3" s="46"/>
      <c r="F3" s="47" t="s">
        <v>5</v>
      </c>
      <c r="G3" s="24"/>
      <c r="H3" s="24"/>
      <c r="I3" s="25"/>
    </row>
    <row r="4" spans="4:9" ht="12.75">
      <c r="D4" s="52"/>
      <c r="G4" s="18" t="s">
        <v>54</v>
      </c>
      <c r="H4" s="18" t="s">
        <v>55</v>
      </c>
      <c r="I4" s="18" t="s">
        <v>56</v>
      </c>
    </row>
    <row r="5" spans="1:9" s="2" customFormat="1" ht="12.75">
      <c r="A5" s="7" t="s">
        <v>1</v>
      </c>
      <c r="B5" s="2" t="s">
        <v>2</v>
      </c>
      <c r="C5" s="5" t="s">
        <v>3</v>
      </c>
      <c r="D5" s="53"/>
      <c r="E5" s="7" t="s">
        <v>1</v>
      </c>
      <c r="F5" s="2" t="s">
        <v>2</v>
      </c>
      <c r="G5" s="2" t="s">
        <v>7</v>
      </c>
      <c r="H5" s="2" t="s">
        <v>7</v>
      </c>
      <c r="I5" s="2" t="s">
        <v>7</v>
      </c>
    </row>
    <row r="6" spans="1:9" ht="12.75">
      <c r="A6" s="452">
        <v>39248</v>
      </c>
      <c r="B6" s="407" t="s">
        <v>326</v>
      </c>
      <c r="C6" s="465">
        <v>130</v>
      </c>
      <c r="D6" s="52"/>
      <c r="E6" s="3">
        <f>Ref!A8</f>
        <v>39239</v>
      </c>
      <c r="F6" s="3" t="str">
        <f>Ref!B8</f>
        <v>Devreden Borç</v>
      </c>
      <c r="G6" s="233">
        <v>130</v>
      </c>
      <c r="H6" s="217"/>
      <c r="I6" s="234">
        <f>SUM(G6:H6)</f>
        <v>130</v>
      </c>
    </row>
    <row r="7" spans="1:9" ht="12.75">
      <c r="A7" s="452">
        <v>39359</v>
      </c>
      <c r="B7" s="407" t="s">
        <v>422</v>
      </c>
      <c r="C7" s="465">
        <v>560</v>
      </c>
      <c r="D7" s="52"/>
      <c r="E7" s="3">
        <f>Ref!A9</f>
        <v>39264</v>
      </c>
      <c r="F7" s="3" t="str">
        <f>Ref!B9</f>
        <v>Temmuz-2007 Ödentisi</v>
      </c>
      <c r="G7" s="235">
        <f>IF(Ref!$B$1&gt;=Ref!A9,Ref!E9,0)</f>
        <v>140</v>
      </c>
      <c r="H7" s="235">
        <f>((IF(Ref!$B$1&gt;=Ref!$A9,Ref!F9,0))*1)*1</f>
        <v>0</v>
      </c>
      <c r="I7" s="234">
        <f>SUM(G7:H7)</f>
        <v>140</v>
      </c>
    </row>
    <row r="8" spans="1:9" ht="12.75">
      <c r="A8" s="452">
        <v>39500</v>
      </c>
      <c r="B8" s="407" t="s">
        <v>532</v>
      </c>
      <c r="C8" s="465">
        <v>1120</v>
      </c>
      <c r="D8" s="52"/>
      <c r="E8" s="3">
        <f>Ref!A10</f>
        <v>39295</v>
      </c>
      <c r="F8" s="3" t="str">
        <f>Ref!B10</f>
        <v>Ağustos-2007 Ödentisi</v>
      </c>
      <c r="G8" s="236">
        <f>IF(Ref!$B$1&gt;=Ref!A10,Ref!E10,0)</f>
        <v>140</v>
      </c>
      <c r="H8" s="235">
        <f>(IF(Ref!$B$1&gt;=Ref!$A10,Ref!F10,0))*1</f>
        <v>0</v>
      </c>
      <c r="I8" s="234">
        <f aca="true" t="shared" si="0" ref="I8:I19">SUM(G8:H8)</f>
        <v>140</v>
      </c>
    </row>
    <row r="9" spans="1:9" ht="12.75">
      <c r="A9" s="452">
        <v>39549</v>
      </c>
      <c r="B9" s="407" t="s">
        <v>532</v>
      </c>
      <c r="C9" s="465">
        <v>140</v>
      </c>
      <c r="D9" s="52"/>
      <c r="E9" s="3">
        <f>Ref!A11</f>
        <v>39326</v>
      </c>
      <c r="F9" s="3" t="str">
        <f>Ref!B11</f>
        <v>Eylül-2007 Ödentisi</v>
      </c>
      <c r="G9" s="236">
        <f>IF(Ref!$B$1&gt;=Ref!A11,Ref!E11,0)</f>
        <v>140</v>
      </c>
      <c r="H9" s="235">
        <f>(IF(Ref!$B$1&gt;=Ref!$A11,Ref!F11,0))*1</f>
        <v>0</v>
      </c>
      <c r="I9" s="234">
        <f t="shared" si="0"/>
        <v>140</v>
      </c>
    </row>
    <row r="10" spans="1:9" ht="12.75">
      <c r="A10" s="452"/>
      <c r="B10" s="407"/>
      <c r="C10" s="465"/>
      <c r="D10" s="52"/>
      <c r="E10" s="3">
        <f>Ref!A12</f>
        <v>39356</v>
      </c>
      <c r="F10" s="3" t="str">
        <f>Ref!B12</f>
        <v>Ekim-2007 Ödentisi</v>
      </c>
      <c r="G10" s="236">
        <f>IF(Ref!$B$1&gt;=Ref!A12,Ref!E12,0)</f>
        <v>140</v>
      </c>
      <c r="H10" s="235">
        <f>(IF(Ref!$B$1&gt;=Ref!$A12,Ref!F12,0))*1</f>
        <v>0</v>
      </c>
      <c r="I10" s="234">
        <f t="shared" si="0"/>
        <v>140</v>
      </c>
    </row>
    <row r="11" spans="1:9" ht="12.75">
      <c r="A11" s="452"/>
      <c r="B11" s="407"/>
      <c r="C11" s="465"/>
      <c r="D11" s="52"/>
      <c r="E11" s="3">
        <f>Ref!A13</f>
        <v>39387</v>
      </c>
      <c r="F11" s="3" t="str">
        <f>Ref!B13</f>
        <v>Kasım-2007 Ödentisi</v>
      </c>
      <c r="G11" s="236">
        <f>IF(Ref!$B$1&gt;=Ref!A13,Ref!E13,0)</f>
        <v>140</v>
      </c>
      <c r="H11" s="235">
        <f>(IF(Ref!$B$1&gt;=Ref!$A13,Ref!F13,0))*1</f>
        <v>0</v>
      </c>
      <c r="I11" s="234">
        <f t="shared" si="0"/>
        <v>140</v>
      </c>
    </row>
    <row r="12" spans="1:9" ht="12.75">
      <c r="A12" s="452"/>
      <c r="B12" s="407"/>
      <c r="C12" s="465"/>
      <c r="D12" s="52"/>
      <c r="E12" s="3">
        <f>Ref!A14</f>
        <v>39417</v>
      </c>
      <c r="F12" s="3" t="str">
        <f>Ref!B14</f>
        <v>Aralık-2007 Ödentisi</v>
      </c>
      <c r="G12" s="236">
        <f>IF(Ref!$B$1&gt;=Ref!A14,Ref!E14,0)</f>
        <v>140</v>
      </c>
      <c r="H12" s="235">
        <f>(IF(Ref!$B$1&gt;=Ref!$A14,Ref!F14,0))*1</f>
        <v>0</v>
      </c>
      <c r="I12" s="234">
        <f t="shared" si="0"/>
        <v>140</v>
      </c>
    </row>
    <row r="13" spans="1:9" ht="12.75">
      <c r="A13" s="452"/>
      <c r="B13" s="407"/>
      <c r="C13" s="465"/>
      <c r="D13" s="52"/>
      <c r="E13" s="3">
        <f>Ref!A15</f>
        <v>39448</v>
      </c>
      <c r="F13" s="3" t="str">
        <f>Ref!B15</f>
        <v>Ocak-2008 Ödentisi</v>
      </c>
      <c r="G13" s="236">
        <f>IF(Ref!$B$1&gt;=Ref!A15,Ref!E15,0)</f>
        <v>140</v>
      </c>
      <c r="H13" s="235">
        <f>(IF(Ref!$B$1&gt;=Ref!$A15,Ref!F15,0))*1</f>
        <v>0</v>
      </c>
      <c r="I13" s="234">
        <f t="shared" si="0"/>
        <v>140</v>
      </c>
    </row>
    <row r="14" spans="1:9" ht="12.75">
      <c r="A14" s="452"/>
      <c r="B14" s="407"/>
      <c r="C14" s="465"/>
      <c r="D14" s="52"/>
      <c r="E14" s="3">
        <f>Ref!A16</f>
        <v>39479</v>
      </c>
      <c r="F14" s="3" t="str">
        <f>Ref!B16</f>
        <v>Şubat-2008 Ödentisi</v>
      </c>
      <c r="G14" s="236">
        <f>IF(Ref!$B$1&gt;=Ref!A16,Ref!E16,0)</f>
        <v>140</v>
      </c>
      <c r="H14" s="235">
        <f>(IF(Ref!$B$1&gt;=Ref!$A16,Ref!F16,0))*1</f>
        <v>0</v>
      </c>
      <c r="I14" s="234">
        <f t="shared" si="0"/>
        <v>140</v>
      </c>
    </row>
    <row r="15" spans="1:9" ht="12.75">
      <c r="A15" s="452"/>
      <c r="B15" s="407"/>
      <c r="C15" s="465"/>
      <c r="D15" s="52"/>
      <c r="E15" s="3">
        <f>Ref!A17</f>
        <v>39508</v>
      </c>
      <c r="F15" s="3" t="str">
        <f>Ref!B17</f>
        <v>Mart-2008 Ödentisi</v>
      </c>
      <c r="G15" s="236">
        <f>IF(Ref!$B$1&gt;=Ref!A17,Ref!E17,0)</f>
        <v>140</v>
      </c>
      <c r="H15" s="235">
        <f>(IF(Ref!$B$1&gt;=Ref!$A17,Ref!F17,0))*1</f>
        <v>0</v>
      </c>
      <c r="I15" s="234">
        <f t="shared" si="0"/>
        <v>140</v>
      </c>
    </row>
    <row r="16" spans="1:9" ht="12.75">
      <c r="A16" s="452"/>
      <c r="B16" s="407"/>
      <c r="C16" s="465"/>
      <c r="D16" s="52"/>
      <c r="E16" s="3">
        <f>Ref!A18</f>
        <v>39539</v>
      </c>
      <c r="F16" s="3" t="str">
        <f>Ref!B18</f>
        <v>Nisan-2008 Ödentisi</v>
      </c>
      <c r="G16" s="236">
        <f>IF(Ref!$B$1&gt;=Ref!A18,Ref!E18,0)</f>
        <v>140</v>
      </c>
      <c r="H16" s="235">
        <f>(IF(Ref!$B$1&gt;=Ref!$A18,Ref!F18,0))*1</f>
        <v>0</v>
      </c>
      <c r="I16" s="234">
        <f t="shared" si="0"/>
        <v>140</v>
      </c>
    </row>
    <row r="17" spans="1:9" ht="12.75">
      <c r="A17" s="452"/>
      <c r="B17" s="407"/>
      <c r="C17" s="465"/>
      <c r="D17" s="52"/>
      <c r="E17" s="3">
        <f>Ref!A19</f>
        <v>39569</v>
      </c>
      <c r="F17" s="3" t="str">
        <f>Ref!B19</f>
        <v>Mayıs-2008 Ödentisi</v>
      </c>
      <c r="G17" s="236">
        <f>IF(Ref!$B$1&gt;=Ref!A19,Ref!E19,0)</f>
        <v>140</v>
      </c>
      <c r="H17" s="235">
        <f>(IF(Ref!$B$1&gt;=Ref!$A19,Ref!F19,0))*1</f>
        <v>0</v>
      </c>
      <c r="I17" s="234">
        <f t="shared" si="0"/>
        <v>140</v>
      </c>
    </row>
    <row r="18" spans="1:9" ht="12.75">
      <c r="A18" s="452"/>
      <c r="B18" s="407"/>
      <c r="C18" s="465"/>
      <c r="D18" s="52"/>
      <c r="E18" s="3">
        <f>Ref!A20</f>
        <v>39600</v>
      </c>
      <c r="F18" s="3" t="str">
        <f>Ref!B20</f>
        <v>Haziran-2008 Ödentisi</v>
      </c>
      <c r="G18" s="236">
        <f>IF(Ref!$B$1&gt;=Ref!A20,Ref!E20,0)</f>
        <v>0</v>
      </c>
      <c r="H18" s="235">
        <f>(IF(Ref!$B$1&gt;=Ref!$A20,Ref!F20,0))*1</f>
        <v>0</v>
      </c>
      <c r="I18" s="234">
        <f t="shared" si="0"/>
        <v>0</v>
      </c>
    </row>
    <row r="19" spans="1:9" ht="12.75">
      <c r="A19" s="452"/>
      <c r="B19" s="407"/>
      <c r="C19" s="465"/>
      <c r="D19" s="52"/>
      <c r="E19" s="3">
        <f>Ref!A21</f>
        <v>39630</v>
      </c>
      <c r="F19" s="3" t="str">
        <f>Ref!B21</f>
        <v>Temmuz-2008 Ödentisi</v>
      </c>
      <c r="G19" s="236">
        <f>IF(Ref!$B$1&gt;=Ref!A21,Ref!E21,0)</f>
        <v>0</v>
      </c>
      <c r="H19" s="235">
        <f>(IF(Ref!$B$1&gt;=Ref!$A21,Ref!F21,0))*1</f>
        <v>0</v>
      </c>
      <c r="I19" s="234">
        <f t="shared" si="0"/>
        <v>0</v>
      </c>
    </row>
    <row r="20" spans="1:9" ht="13.5" thickBot="1">
      <c r="A20" s="452"/>
      <c r="B20" s="407"/>
      <c r="C20" s="465"/>
      <c r="D20" s="52"/>
      <c r="F20" s="3"/>
      <c r="G20" s="236"/>
      <c r="H20" s="236"/>
      <c r="I20" s="234"/>
    </row>
    <row r="21" spans="2:9" ht="13.5" thickTop="1">
      <c r="B21" s="8" t="s">
        <v>11</v>
      </c>
      <c r="C21" s="232">
        <f>SUM(C6:C20)</f>
        <v>1950</v>
      </c>
      <c r="D21" s="51"/>
      <c r="F21" s="8" t="s">
        <v>62</v>
      </c>
      <c r="G21" s="237">
        <f>SUM(G6:G19)</f>
        <v>1670</v>
      </c>
      <c r="H21" s="237">
        <f>SUM(H6:H19)</f>
        <v>0</v>
      </c>
      <c r="I21" s="238">
        <f>SUM(I6:I20)</f>
        <v>1670</v>
      </c>
    </row>
    <row r="22" spans="1:9" ht="12.75">
      <c r="A22" s="30"/>
      <c r="B22" s="31"/>
      <c r="C22" s="32"/>
      <c r="D22" s="26"/>
      <c r="E22" s="30"/>
      <c r="F22" s="31"/>
      <c r="G22" s="33"/>
      <c r="H22" s="33"/>
      <c r="I22" s="34"/>
    </row>
    <row r="23" spans="1:9" ht="12.75">
      <c r="A23" s="35"/>
      <c r="B23" s="36"/>
      <c r="C23" s="37"/>
      <c r="D23" s="26"/>
      <c r="E23" s="35"/>
      <c r="F23" s="36"/>
      <c r="G23" s="38"/>
      <c r="H23" s="38"/>
      <c r="I23" s="39"/>
    </row>
    <row r="24" spans="1:9" ht="12.75">
      <c r="A24" s="3" t="s">
        <v>64</v>
      </c>
      <c r="D24" s="51"/>
      <c r="E24" s="28"/>
      <c r="F24" s="29"/>
      <c r="G24" s="40"/>
      <c r="H24" s="29"/>
      <c r="I24" s="41"/>
    </row>
    <row r="25" spans="1:9" ht="12.75">
      <c r="A25" s="123" t="str">
        <f>IF(Ref!$B$1&lt;Ref!$A9,Ref!A9,"-")</f>
        <v>-</v>
      </c>
      <c r="B25" s="240" t="str">
        <f>IF(Ref!$B$1&lt;Ref!$A9,Ref!F9,"-")</f>
        <v>-</v>
      </c>
      <c r="C25" s="54"/>
      <c r="D25" s="29"/>
      <c r="E25" s="28"/>
      <c r="F25" s="29"/>
      <c r="G25" s="40"/>
      <c r="H25" s="26"/>
      <c r="I25" s="27"/>
    </row>
    <row r="26" spans="1:9" ht="15">
      <c r="A26" s="123" t="str">
        <f>IF(Ref!$B$1&lt;Ref!$A10,Ref!A10,"-")</f>
        <v>-</v>
      </c>
      <c r="B26" s="240" t="str">
        <f>IF(Ref!$B$1&lt;Ref!$A10,Ref!F10,"-")</f>
        <v>-</v>
      </c>
      <c r="C26" s="54"/>
      <c r="D26" s="29"/>
      <c r="E26" s="28"/>
      <c r="F26" s="64" t="str">
        <f>IF((C21-I21)&gt;0,"ALACAK BAKİYENİZ :","BORÇ BAKİYENİZ :")</f>
        <v>ALACAK BAKİYENİZ :</v>
      </c>
      <c r="G26" s="40"/>
      <c r="H26" s="55" t="s">
        <v>65</v>
      </c>
      <c r="I26" s="57"/>
    </row>
    <row r="27" spans="1:9" ht="15.75">
      <c r="A27" s="123" t="str">
        <f>IF(Ref!$B$1&lt;Ref!$A11,Ref!A11,"-")</f>
        <v>-</v>
      </c>
      <c r="B27" s="240" t="str">
        <f>IF(Ref!$B$1&lt;Ref!$A11,Ref!F11,"-")</f>
        <v>-</v>
      </c>
      <c r="C27" s="54"/>
      <c r="D27" s="29"/>
      <c r="E27" s="28"/>
      <c r="F27" s="239">
        <f>C21-I21</f>
        <v>280</v>
      </c>
      <c r="G27" s="40"/>
      <c r="H27" s="56"/>
      <c r="I27" s="27"/>
    </row>
    <row r="28" spans="1:9" ht="12.75">
      <c r="A28" s="123" t="str">
        <f>IF(Ref!$B$1&lt;Ref!$A12,Ref!A12,"-")</f>
        <v>-</v>
      </c>
      <c r="B28" s="240" t="str">
        <f>IF(Ref!$B$1&lt;Ref!$A12,Ref!F12,"-")</f>
        <v>-</v>
      </c>
      <c r="C28" s="54"/>
      <c r="D28" s="29"/>
      <c r="E28" s="28"/>
      <c r="F28" s="29"/>
      <c r="G28" s="29"/>
      <c r="H28" s="56"/>
      <c r="I28" s="27"/>
    </row>
    <row r="29" spans="1:9" ht="12.75">
      <c r="A29" s="123" t="str">
        <f>IF(Ref!$B$1&lt;Ref!$A13,Ref!A13,"-")</f>
        <v>-</v>
      </c>
      <c r="B29" s="240" t="str">
        <f>IF(Ref!$B$1&lt;Ref!$A13,Ref!F13,"-")</f>
        <v>-</v>
      </c>
      <c r="C29" s="126"/>
      <c r="D29" s="29"/>
      <c r="E29" s="28"/>
      <c r="F29" s="29"/>
      <c r="G29" s="40"/>
      <c r="H29" s="56"/>
      <c r="I29" s="27"/>
    </row>
    <row r="30" spans="1:9" ht="12.75">
      <c r="A30" s="123" t="str">
        <f>IF(Ref!$B$1&lt;Ref!$A14,Ref!A14,"-")</f>
        <v>-</v>
      </c>
      <c r="B30" s="240" t="str">
        <f>IF(Ref!$B$1&lt;Ref!$A14,Ref!F14,"-")</f>
        <v>-</v>
      </c>
      <c r="C30" s="54"/>
      <c r="D30" s="29"/>
      <c r="E30" s="28"/>
      <c r="F30" s="29"/>
      <c r="G30" s="40"/>
      <c r="H30" s="56"/>
      <c r="I30" s="27"/>
    </row>
    <row r="31" spans="1:9" ht="12.75">
      <c r="A31" s="123" t="str">
        <f>IF(Ref!$B$1&lt;Ref!$A15,Ref!A15,"-")</f>
        <v>-</v>
      </c>
      <c r="B31" s="240" t="str">
        <f>IF(Ref!$B$1&lt;Ref!$A15,Ref!F15,"-")</f>
        <v>-</v>
      </c>
      <c r="C31" s="54"/>
      <c r="D31" s="71" t="s">
        <v>93</v>
      </c>
      <c r="E31" s="72"/>
      <c r="F31" s="73"/>
      <c r="G31" s="40"/>
      <c r="H31" s="56"/>
      <c r="I31" s="27"/>
    </row>
    <row r="32" spans="1:9" ht="12.75">
      <c r="A32" s="123" t="str">
        <f>IF(Ref!$B$1&lt;Ref!$A16,Ref!A16,"-")</f>
        <v>-</v>
      </c>
      <c r="B32" s="240" t="str">
        <f>IF(Ref!$B$1&lt;Ref!$A16,Ref!F16,"-")</f>
        <v>-</v>
      </c>
      <c r="C32" s="54"/>
      <c r="D32" s="74" t="s">
        <v>94</v>
      </c>
      <c r="E32" s="75"/>
      <c r="F32" s="76"/>
      <c r="G32" s="40"/>
      <c r="H32" s="56"/>
      <c r="I32" s="27"/>
    </row>
    <row r="33" spans="1:9" ht="12.75">
      <c r="A33" s="123" t="str">
        <f>IF(Ref!$B$1&lt;Ref!$A17,Ref!A17,"-")</f>
        <v>-</v>
      </c>
      <c r="B33" s="240" t="str">
        <f>IF(Ref!$B$1&lt;Ref!$A17,Ref!F17,"-")</f>
        <v>-</v>
      </c>
      <c r="C33" s="54"/>
      <c r="D33" s="77" t="s">
        <v>95</v>
      </c>
      <c r="E33" s="78"/>
      <c r="F33" s="79"/>
      <c r="G33" s="40"/>
      <c r="H33" s="56"/>
      <c r="I33" s="27"/>
    </row>
    <row r="34" spans="1:9" ht="12.75">
      <c r="A34" s="123" t="str">
        <f>IF(Ref!$B$1&lt;Ref!$A18,Ref!A18,"-")</f>
        <v>-</v>
      </c>
      <c r="B34" s="240" t="str">
        <f>IF(Ref!$B$1&lt;Ref!$A18,Ref!F18,"-")</f>
        <v>-</v>
      </c>
      <c r="C34" s="54"/>
      <c r="D34" s="74" t="s">
        <v>96</v>
      </c>
      <c r="E34" s="75"/>
      <c r="F34" s="76"/>
      <c r="G34" s="40"/>
      <c r="H34" s="56"/>
      <c r="I34" s="27"/>
    </row>
    <row r="35" spans="1:9" ht="12.75">
      <c r="A35" s="123" t="str">
        <f>IF(Ref!$B$1&lt;Ref!$A19,Ref!A19,"-")</f>
        <v>-</v>
      </c>
      <c r="B35" s="240" t="str">
        <f>IF(Ref!$B$1&lt;Ref!$A19,Ref!F19,"-")</f>
        <v>-</v>
      </c>
      <c r="C35" s="54"/>
      <c r="D35" s="74"/>
      <c r="E35" s="75" t="s">
        <v>97</v>
      </c>
      <c r="F35" s="76"/>
      <c r="G35" s="40"/>
      <c r="H35" s="56"/>
      <c r="I35" s="27"/>
    </row>
    <row r="36" spans="1:9" ht="12.75">
      <c r="A36" s="123">
        <f>IF(Ref!$B$1&lt;Ref!$A20,Ref!A20,"-")</f>
        <v>39600</v>
      </c>
      <c r="B36" s="240">
        <f>IF(Ref!$B$1&lt;Ref!$A20,Ref!F20,"-")</f>
        <v>0</v>
      </c>
      <c r="C36" s="54"/>
      <c r="D36" s="80" t="s">
        <v>98</v>
      </c>
      <c r="E36" s="49"/>
      <c r="F36" s="81"/>
      <c r="G36" s="40"/>
      <c r="H36" s="56"/>
      <c r="I36" s="27"/>
    </row>
    <row r="37" spans="1:9" ht="12.75">
      <c r="A37" s="123">
        <f>IF(Ref!$B$1&lt;Ref!$A21,Ref!A21,"-")</f>
        <v>39630</v>
      </c>
      <c r="B37" s="240">
        <f>IF(Ref!$B$1&lt;Ref!$A21,Ref!F21,"-")</f>
        <v>0</v>
      </c>
      <c r="C37" s="54"/>
      <c r="E37" s="28"/>
      <c r="G37" s="40"/>
      <c r="H37" s="56"/>
      <c r="I37" s="27"/>
    </row>
    <row r="38" spans="1:7" ht="12.75">
      <c r="A38"/>
      <c r="B38" s="217"/>
      <c r="D38" s="26"/>
      <c r="E38" s="35"/>
      <c r="F38" s="26"/>
      <c r="G38" s="4"/>
    </row>
    <row r="39" spans="2:7" ht="12.75">
      <c r="B39" s="217"/>
      <c r="G39" s="4"/>
    </row>
    <row r="40" spans="7:8" ht="12.75">
      <c r="G40" s="4"/>
      <c r="H40" s="123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</sheetData>
  <sheetProtection sheet="1" objects="1" scenarios="1"/>
  <printOptions gridLines="1"/>
  <pageMargins left="0.9448818897637796" right="0.35433070866141736" top="0.7874015748031497" bottom="0.5905511811023623" header="0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R. Ahmet Kursun</cp:lastModifiedBy>
  <cp:lastPrinted>2008-05-24T12:34:31Z</cp:lastPrinted>
  <dcterms:created xsi:type="dcterms:W3CDTF">2003-05-26T13:39:34Z</dcterms:created>
  <dcterms:modified xsi:type="dcterms:W3CDTF">2008-06-02T16:11:50Z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